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9.xml" ContentType="application/vnd.openxmlformats-officedocument.drawingml.chartshapes+xml"/>
  <Override PartName="/xl/comments2.xml" ContentType="application/vnd.openxmlformats-officedocument.spreadsheetml.comments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5.xml" ContentType="application/vnd.openxmlformats-officedocument.drawingml.chartshapes+xml"/>
  <Override PartName="/xl/comments3.xml" ContentType="application/vnd.openxmlformats-officedocument.spreadsheetml.comments+xml"/>
  <Override PartName="/xl/drawings/drawing1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7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8.xml" ContentType="application/vnd.openxmlformats-officedocument.drawingml.chartshape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19.xml" ContentType="application/vnd.openxmlformats-officedocument.drawing+xml"/>
  <Override PartName="/xl/charts/chart11.xml" ContentType="application/vnd.openxmlformats-officedocument.drawingml.chart+xml"/>
  <Override PartName="/xl/drawings/drawing20.xml" ContentType="application/vnd.openxmlformats-officedocument.drawingml.chartshapes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1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24226"/>
  <xr:revisionPtr revIDLastSave="0" documentId="13_ncr:1_{D5174178-447F-41E9-9E33-DD7612503035}" xr6:coauthVersionLast="47" xr6:coauthVersionMax="47" xr10:uidLastSave="{00000000-0000-0000-0000-000000000000}"/>
  <bookViews>
    <workbookView xWindow="-108" yWindow="-108" windowWidth="23256" windowHeight="12456" tabRatio="929" activeTab="42" xr2:uid="{00000000-000D-0000-FFFF-FFFF00000000}"/>
  </bookViews>
  <sheets>
    <sheet name="Flowers and pot plants" sheetId="146" r:id="rId1"/>
    <sheet name="Bulbs_Tree_nursery" sheetId="145" r:id="rId2"/>
    <sheet name="Production value area" sheetId="143" r:id="rId3"/>
    <sheet name="Area and production Maps" sheetId="144" r:id="rId4"/>
    <sheet name="Australia_23" sheetId="113" r:id="rId5"/>
    <sheet name="Austria_23-24" sheetId="92" r:id="rId6"/>
    <sheet name="Belgium_24" sheetId="93" r:id="rId7"/>
    <sheet name="Brazil_25" sheetId="94" r:id="rId8"/>
    <sheet name="Canada_26-31" sheetId="114" r:id="rId9"/>
    <sheet name="China_32" sheetId="95" r:id="rId10"/>
    <sheet name="Chinese_Taipei_35" sheetId="96" r:id="rId11"/>
    <sheet name="Colombia_34-37" sheetId="115" r:id="rId12"/>
    <sheet name="Costa_Rica_39" sheetId="97" r:id="rId13"/>
    <sheet name="Denmark_39-42" sheetId="116" r:id="rId14"/>
    <sheet name="Ecuador_43-46" sheetId="117" r:id="rId15"/>
    <sheet name="Ethiopia_47" sheetId="98" r:id="rId16"/>
    <sheet name="Finland_48" sheetId="99" r:id="rId17"/>
    <sheet name="France_45-49" sheetId="118" r:id="rId18"/>
    <sheet name="Germany_50-56" sheetId="119" r:id="rId19"/>
    <sheet name="Indonesia_60" sheetId="101" r:id="rId20"/>
    <sheet name="Guatemala" sheetId="142" r:id="rId21"/>
    <sheet name="Hungary_57" sheetId="100" r:id="rId22"/>
    <sheet name="India_57-59" sheetId="121" r:id="rId23"/>
    <sheet name="Ireland_62" sheetId="103" r:id="rId24"/>
    <sheet name="Israel_62" sheetId="104" r:id="rId25"/>
    <sheet name="Iran_60" sheetId="102" r:id="rId26"/>
    <sheet name="Italy_63-66" sheetId="122" r:id="rId27"/>
    <sheet name="Japan_67-71" sheetId="123" r:id="rId28"/>
    <sheet name="Kenya_72-73" sheetId="124" r:id="rId29"/>
    <sheet name="Korea_73-74" sheetId="105" r:id="rId30"/>
    <sheet name="Malaysia_74" sheetId="106" r:id="rId31"/>
    <sheet name="Mexico_75" sheetId="107" r:id="rId32"/>
    <sheet name="Netherlands_75-79" sheetId="125" r:id="rId33"/>
    <sheet name="Norway_80" sheetId="108" r:id="rId34"/>
    <sheet name="Poland_80-82" sheetId="126" r:id="rId35"/>
    <sheet name="Spain_83-85" sheetId="127" r:id="rId36"/>
    <sheet name="Sweden_87" sheetId="109" r:id="rId37"/>
    <sheet name="Switzerland_88" sheetId="110" r:id="rId38"/>
    <sheet name="Thailand_89" sheetId="111" r:id="rId39"/>
    <sheet name="Turkey_88-91" sheetId="128" r:id="rId40"/>
    <sheet name="Uganda_NEW" sheetId="141" r:id="rId41"/>
    <sheet name="UK_92-93" sheetId="129" r:id="rId42"/>
    <sheet name="USA_94-104" sheetId="130" r:id="rId43"/>
    <sheet name="Vietnam_104 " sheetId="112" r:id="rId44"/>
  </sheets>
  <externalReferences>
    <externalReference r:id="rId45"/>
    <externalReference r:id="rId46"/>
    <externalReference r:id="rId47"/>
    <externalReference r:id="rId48"/>
    <externalReference r:id="rId49"/>
    <externalReference r:id="rId50"/>
  </externalReferences>
  <definedNames>
    <definedName name="_Hlk77759605" localSheetId="6">Belgium_24!$B$8</definedName>
    <definedName name="_Toc31366484" localSheetId="9">China_32!$D$1</definedName>
    <definedName name="OLE_LINK13" localSheetId="23">Ireland_62!#REF!</definedName>
    <definedName name="OLE_LINK21" localSheetId="16">Finland_48!$B$30</definedName>
    <definedName name="OLE_LINK31" localSheetId="31">Mexico_75!$B$59</definedName>
    <definedName name="OLE_LINK7" localSheetId="37">Switzerland_88!#REF!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43" l="1"/>
  <c r="I58" i="145"/>
  <c r="F58" i="145"/>
  <c r="C58" i="145"/>
  <c r="F46" i="145"/>
  <c r="C46" i="145"/>
  <c r="L53" i="146"/>
  <c r="J53" i="146"/>
  <c r="I53" i="146"/>
  <c r="F53" i="146"/>
  <c r="F51" i="146"/>
  <c r="F45" i="146"/>
  <c r="F44" i="146"/>
  <c r="F17" i="146"/>
  <c r="F14" i="146"/>
  <c r="F12" i="146"/>
  <c r="F10" i="146"/>
  <c r="C37" i="110"/>
  <c r="C13" i="141" l="1"/>
  <c r="C378" i="130"/>
  <c r="C350" i="130"/>
  <c r="C339" i="130"/>
  <c r="C322" i="130"/>
  <c r="D322" i="130"/>
  <c r="C294" i="130"/>
  <c r="C121" i="125"/>
  <c r="C133" i="125"/>
  <c r="C11" i="106"/>
  <c r="C68" i="123"/>
  <c r="C209" i="118"/>
  <c r="D208" i="118" s="1"/>
  <c r="D207" i="118" s="1"/>
  <c r="D206" i="118" s="1"/>
  <c r="D205" i="118" s="1"/>
  <c r="D204" i="118" s="1"/>
  <c r="D203" i="118" s="1"/>
  <c r="D202" i="118" s="1"/>
  <c r="D201" i="118" s="1"/>
  <c r="D200" i="118" s="1"/>
  <c r="D199" i="118" s="1"/>
  <c r="D198" i="118" s="1"/>
  <c r="D197" i="118" s="1"/>
  <c r="C190" i="118"/>
  <c r="F63" i="118"/>
  <c r="C45" i="118"/>
  <c r="C34" i="118"/>
  <c r="C87" i="117"/>
  <c r="C88" i="117"/>
  <c r="C73" i="117"/>
  <c r="V30" i="117"/>
  <c r="V31" i="117"/>
  <c r="V29" i="117"/>
  <c r="V32" i="117"/>
  <c r="V33" i="117"/>
  <c r="V34" i="117"/>
  <c r="C55" i="117"/>
  <c r="Q39" i="116"/>
  <c r="C30" i="116"/>
  <c r="D30" i="116"/>
  <c r="V28" i="117" l="1"/>
  <c r="C96" i="113"/>
  <c r="C124" i="113"/>
  <c r="C85" i="129"/>
  <c r="C74" i="129"/>
  <c r="C223" i="128"/>
  <c r="C207" i="128"/>
  <c r="C192" i="128"/>
  <c r="C107" i="124"/>
  <c r="C91" i="124"/>
  <c r="C67" i="124"/>
  <c r="C295" i="123"/>
  <c r="C280" i="123"/>
  <c r="C267" i="123"/>
  <c r="C247" i="123"/>
  <c r="C222" i="123"/>
  <c r="D222" i="123"/>
  <c r="C198" i="123"/>
  <c r="C142" i="121"/>
  <c r="C124" i="121"/>
  <c r="C114" i="121"/>
  <c r="D129" i="142"/>
  <c r="C85" i="142"/>
  <c r="C75" i="142"/>
  <c r="C65" i="142"/>
  <c r="C40" i="98"/>
  <c r="C157" i="117"/>
  <c r="C221" i="115"/>
  <c r="C195" i="115"/>
  <c r="C177" i="115"/>
  <c r="C126" i="115"/>
  <c r="C116" i="115"/>
  <c r="C106" i="115"/>
  <c r="D196" i="114"/>
  <c r="C196" i="114"/>
  <c r="C195" i="114"/>
  <c r="C133" i="114"/>
  <c r="C90" i="114"/>
  <c r="C91" i="114"/>
  <c r="C92" i="114"/>
  <c r="C94" i="114"/>
  <c r="C95" i="114"/>
  <c r="C97" i="114"/>
  <c r="D12" i="92"/>
  <c r="D288" i="114"/>
  <c r="D294" i="114"/>
  <c r="D285" i="114"/>
  <c r="D240" i="114"/>
  <c r="D250" i="114" s="1"/>
  <c r="C57" i="130"/>
  <c r="D468" i="130"/>
  <c r="F419" i="130"/>
  <c r="D377" i="130"/>
  <c r="D374" i="130"/>
  <c r="D366" i="130"/>
  <c r="D360" i="130"/>
  <c r="D350" i="130"/>
  <c r="D339" i="130"/>
  <c r="D321" i="130"/>
  <c r="D318" i="130"/>
  <c r="D310" i="130"/>
  <c r="D304" i="130"/>
  <c r="D294" i="130"/>
  <c r="C124" i="130"/>
  <c r="C32" i="128"/>
  <c r="H221" i="130"/>
  <c r="H222" i="130"/>
  <c r="H223" i="130"/>
  <c r="H224" i="130"/>
  <c r="H225" i="130"/>
  <c r="H226" i="130"/>
  <c r="H227" i="130"/>
  <c r="H228" i="130"/>
  <c r="H229" i="130"/>
  <c r="H230" i="130"/>
  <c r="H231" i="130"/>
  <c r="H220" i="130"/>
  <c r="L220" i="130"/>
  <c r="E50" i="141"/>
  <c r="E36" i="141"/>
  <c r="E27" i="141"/>
  <c r="D13" i="141"/>
  <c r="D378" i="130" l="1"/>
  <c r="D107" i="124"/>
  <c r="D91" i="124"/>
  <c r="D67" i="124"/>
  <c r="D142" i="121"/>
  <c r="D124" i="121"/>
  <c r="D114" i="121"/>
  <c r="C69" i="98"/>
  <c r="C55" i="98"/>
  <c r="D40" i="98"/>
  <c r="D192" i="128"/>
  <c r="D34" i="118"/>
  <c r="D88" i="117"/>
  <c r="D73" i="117" l="1"/>
  <c r="I34" i="110" l="1"/>
  <c r="D133" i="125"/>
  <c r="D121" i="125"/>
  <c r="D11" i="106"/>
  <c r="D68" i="123"/>
  <c r="L74" i="121"/>
  <c r="H74" i="121"/>
  <c r="D74" i="121"/>
  <c r="R39" i="116"/>
  <c r="D87" i="117"/>
  <c r="E73" i="117"/>
  <c r="D55" i="117" l="1"/>
  <c r="U34" i="117" s="1"/>
  <c r="U33" i="117"/>
  <c r="U32" i="117"/>
  <c r="U31" i="117"/>
  <c r="U29" i="117"/>
  <c r="T29" i="117"/>
  <c r="U28" i="117" l="1"/>
  <c r="E12" i="92"/>
  <c r="D85" i="129"/>
  <c r="D74" i="129"/>
  <c r="D223" i="128"/>
  <c r="D207" i="128"/>
  <c r="D179" i="128"/>
  <c r="D295" i="123"/>
  <c r="D280" i="123"/>
  <c r="D267" i="123"/>
  <c r="D247" i="123"/>
  <c r="D198" i="123"/>
  <c r="E142" i="121"/>
  <c r="E129" i="142"/>
  <c r="D85" i="142"/>
  <c r="D75" i="142"/>
  <c r="D65" i="142"/>
  <c r="D157" i="117" l="1"/>
  <c r="D124" i="113"/>
  <c r="D108" i="113"/>
  <c r="D96" i="113"/>
  <c r="D221" i="115"/>
  <c r="D195" i="115"/>
  <c r="D177" i="115"/>
  <c r="D126" i="115"/>
  <c r="D116" i="115"/>
  <c r="D106" i="115"/>
  <c r="D195" i="114"/>
  <c r="D133" i="114"/>
  <c r="E133" i="114"/>
  <c r="F133" i="114"/>
  <c r="D97" i="114"/>
  <c r="D96" i="114"/>
  <c r="D95" i="114"/>
  <c r="D94" i="114"/>
  <c r="D93" i="114"/>
  <c r="D92" i="114"/>
  <c r="D91" i="114"/>
  <c r="D90" i="114"/>
  <c r="E90" i="114"/>
  <c r="E92" i="114"/>
  <c r="E88" i="117"/>
  <c r="C17" i="102" l="1"/>
  <c r="L80" i="126" l="1"/>
  <c r="J80" i="126"/>
  <c r="I80" i="126"/>
  <c r="H80" i="126"/>
  <c r="H48" i="126" s="1"/>
  <c r="H50" i="126" s="1"/>
  <c r="G80" i="126"/>
  <c r="G48" i="126" s="1"/>
  <c r="F80" i="126"/>
  <c r="F48" i="126" s="1"/>
  <c r="F50" i="126" s="1"/>
  <c r="E80" i="126"/>
  <c r="E48" i="126" s="1"/>
  <c r="C56" i="126" s="1"/>
  <c r="J60" i="126"/>
  <c r="I60" i="126"/>
  <c r="H60" i="126"/>
  <c r="G60" i="126"/>
  <c r="F60" i="126"/>
  <c r="E60" i="126"/>
  <c r="E49" i="126" s="1"/>
  <c r="F32" i="126"/>
  <c r="F31" i="126"/>
  <c r="E50" i="126" l="1"/>
  <c r="D69" i="98"/>
  <c r="D55" i="98"/>
  <c r="J124" i="130"/>
  <c r="K124" i="130"/>
  <c r="H124" i="130"/>
  <c r="E124" i="130"/>
  <c r="F124" i="130"/>
  <c r="G124" i="130"/>
  <c r="I124" i="130"/>
  <c r="D124" i="130"/>
  <c r="D57" i="130"/>
  <c r="D173" i="114" l="1"/>
  <c r="E173" i="114"/>
  <c r="M479" i="130" l="1"/>
  <c r="G419" i="130"/>
  <c r="E360" i="130" l="1"/>
  <c r="E366" i="130"/>
  <c r="E374" i="130"/>
  <c r="E377" i="130"/>
  <c r="E350" i="130"/>
  <c r="F350" i="130"/>
  <c r="E339" i="130"/>
  <c r="E304" i="130"/>
  <c r="E310" i="130"/>
  <c r="E318" i="130"/>
  <c r="E321" i="130"/>
  <c r="F321" i="130"/>
  <c r="F318" i="130"/>
  <c r="F310" i="130"/>
  <c r="F304" i="130"/>
  <c r="E294" i="130" l="1"/>
  <c r="F294" i="130"/>
  <c r="E271" i="130"/>
  <c r="F271" i="130"/>
  <c r="C30" i="96" l="1"/>
  <c r="D32" i="128" l="1"/>
  <c r="E85" i="129" l="1"/>
  <c r="E74" i="129"/>
  <c r="F50" i="141"/>
  <c r="F36" i="141"/>
  <c r="F27" i="141"/>
  <c r="E13" i="141"/>
  <c r="F13" i="141"/>
  <c r="E85" i="142" l="1"/>
  <c r="E75" i="142"/>
  <c r="E65" i="142"/>
  <c r="C231" i="118" l="1"/>
  <c r="D230" i="118" s="1"/>
  <c r="D229" i="118" s="1"/>
  <c r="D228" i="118" s="1"/>
  <c r="D227" i="118" s="1"/>
  <c r="D226" i="118" s="1"/>
  <c r="D225" i="118" s="1"/>
  <c r="D224" i="118" s="1"/>
  <c r="D223" i="118" s="1"/>
  <c r="D222" i="118" s="1"/>
  <c r="D221" i="118" s="1"/>
  <c r="D220" i="118" s="1"/>
  <c r="D219" i="118" s="1"/>
  <c r="D144" i="118"/>
  <c r="C75" i="118"/>
  <c r="F64" i="118" l="1"/>
  <c r="F65" i="118"/>
  <c r="F61" i="118"/>
  <c r="F62" i="118"/>
  <c r="F60" i="118"/>
  <c r="F59" i="118"/>
  <c r="F58" i="118"/>
  <c r="F57" i="118"/>
  <c r="F56" i="118"/>
  <c r="F55" i="118"/>
  <c r="F54" i="118"/>
  <c r="E34" i="118" l="1"/>
  <c r="T33" i="117" l="1"/>
  <c r="T32" i="117"/>
  <c r="T31" i="117"/>
  <c r="T30" i="117"/>
  <c r="E55" i="117"/>
  <c r="T34" i="117" s="1"/>
  <c r="E47" i="96"/>
  <c r="T28" i="117" l="1"/>
  <c r="E318" i="114"/>
  <c r="E311" i="114"/>
  <c r="E285" i="114"/>
  <c r="E288" i="114"/>
  <c r="E294" i="114"/>
  <c r="E278" i="114"/>
  <c r="F12" i="92" l="1"/>
  <c r="G12" i="92"/>
  <c r="E223" i="128" l="1"/>
  <c r="E207" i="128"/>
  <c r="E192" i="128"/>
  <c r="E179" i="128"/>
  <c r="E133" i="125"/>
  <c r="F133" i="125"/>
  <c r="E121" i="125"/>
  <c r="F107" i="124" l="1"/>
  <c r="E107" i="124"/>
  <c r="F91" i="124"/>
  <c r="E91" i="124"/>
  <c r="F67" i="124"/>
  <c r="E67" i="124"/>
  <c r="E295" i="123"/>
  <c r="E280" i="123"/>
  <c r="E267" i="123"/>
  <c r="E247" i="123"/>
  <c r="F247" i="123"/>
  <c r="E222" i="123"/>
  <c r="F222" i="123"/>
  <c r="E68" i="123" l="1"/>
  <c r="F68" i="123"/>
  <c r="E44" i="123"/>
  <c r="E37" i="123"/>
  <c r="E124" i="121" l="1"/>
  <c r="E114" i="121"/>
  <c r="D91" i="121"/>
  <c r="D92" i="121"/>
  <c r="D93" i="121"/>
  <c r="D94" i="121"/>
  <c r="D95" i="121"/>
  <c r="D96" i="121"/>
  <c r="D97" i="121"/>
  <c r="D98" i="121"/>
  <c r="D99" i="121"/>
  <c r="D90" i="121"/>
  <c r="D190" i="118" l="1"/>
  <c r="D45" i="118" l="1"/>
  <c r="E45" i="118"/>
  <c r="F45" i="118"/>
  <c r="E157" i="117" l="1"/>
  <c r="E87" i="117"/>
  <c r="S30" i="116" l="1"/>
  <c r="S39" i="116" s="1"/>
  <c r="E30" i="116"/>
  <c r="E39" i="116" s="1"/>
  <c r="E221" i="115" l="1"/>
  <c r="E195" i="115"/>
  <c r="E177" i="115"/>
  <c r="E126" i="115"/>
  <c r="E116" i="115"/>
  <c r="E106" i="115"/>
  <c r="F250" i="114" l="1"/>
  <c r="E240" i="114"/>
  <c r="E234" i="114"/>
  <c r="E231" i="114"/>
  <c r="E250" i="114" l="1"/>
  <c r="D214" i="114"/>
  <c r="D215" i="114"/>
  <c r="D216" i="114"/>
  <c r="D217" i="114"/>
  <c r="D218" i="114"/>
  <c r="D219" i="114"/>
  <c r="D213" i="114"/>
  <c r="D212" i="114"/>
  <c r="C220" i="114"/>
  <c r="D220" i="114" s="1"/>
  <c r="E195" i="114" l="1"/>
  <c r="G133" i="114" l="1"/>
  <c r="F90" i="114"/>
  <c r="E91" i="114"/>
  <c r="F91" i="114"/>
  <c r="F92" i="114"/>
  <c r="E95" i="114"/>
  <c r="F95" i="114"/>
  <c r="E94" i="114"/>
  <c r="F94" i="114"/>
  <c r="E97" i="114"/>
  <c r="F97" i="114"/>
  <c r="E96" i="114"/>
  <c r="F96" i="114"/>
  <c r="G96" i="114"/>
  <c r="E93" i="114"/>
  <c r="F93" i="114"/>
  <c r="G93" i="114"/>
  <c r="E84" i="114"/>
  <c r="F84" i="114"/>
  <c r="F26" i="114"/>
  <c r="E124" i="113" l="1"/>
  <c r="E108" i="113"/>
  <c r="E96" i="113"/>
  <c r="E11" i="106" l="1"/>
  <c r="I104" i="118" l="1"/>
  <c r="I102" i="118"/>
  <c r="D109" i="127" l="1"/>
  <c r="D108" i="127"/>
  <c r="D107" i="127"/>
  <c r="E95" i="127"/>
  <c r="E92" i="127"/>
  <c r="E91" i="127"/>
  <c r="E90" i="127"/>
  <c r="E89" i="127"/>
  <c r="E88" i="127"/>
  <c r="E86" i="127"/>
  <c r="E85" i="127"/>
  <c r="E84" i="127"/>
  <c r="E83" i="127"/>
  <c r="E82" i="127"/>
  <c r="E235" i="119"/>
  <c r="E236" i="119"/>
  <c r="E237" i="119"/>
  <c r="E238" i="119"/>
  <c r="E240" i="119"/>
  <c r="E241" i="119"/>
  <c r="E242" i="119"/>
  <c r="E244" i="119"/>
  <c r="E246" i="119"/>
  <c r="E247" i="119"/>
  <c r="E234" i="119"/>
  <c r="E224" i="119"/>
  <c r="E223" i="119"/>
  <c r="E222" i="119"/>
  <c r="E221" i="119"/>
  <c r="E219" i="119"/>
  <c r="E218" i="119"/>
  <c r="E217" i="119"/>
  <c r="E215" i="119"/>
  <c r="E214" i="119"/>
  <c r="E213" i="119"/>
  <c r="E211" i="119"/>
  <c r="E210" i="119" l="1"/>
  <c r="O115" i="119"/>
  <c r="F50" i="119"/>
  <c r="E50" i="119"/>
  <c r="D50" i="119"/>
  <c r="C50" i="119"/>
  <c r="F47" i="119"/>
  <c r="E47" i="119"/>
  <c r="D47" i="119"/>
  <c r="C47" i="119"/>
  <c r="H46" i="119"/>
  <c r="G46" i="119"/>
  <c r="F46" i="119"/>
  <c r="E46" i="119"/>
  <c r="D46" i="119"/>
  <c r="H45" i="119"/>
  <c r="G45" i="119"/>
  <c r="F45" i="119"/>
  <c r="E45" i="119"/>
  <c r="D45" i="119"/>
  <c r="C44" i="119"/>
  <c r="D40" i="119"/>
  <c r="D37" i="119"/>
  <c r="F73" i="117" l="1"/>
  <c r="G73" i="117"/>
  <c r="H73" i="117"/>
  <c r="I73" i="117"/>
  <c r="J73" i="117"/>
  <c r="K73" i="117"/>
  <c r="L73" i="117"/>
  <c r="D119" i="117"/>
  <c r="D118" i="117"/>
  <c r="D117" i="117"/>
  <c r="D116" i="117"/>
  <c r="D115" i="117"/>
  <c r="D106" i="117"/>
  <c r="D105" i="117"/>
  <c r="D104" i="117"/>
  <c r="D103" i="117"/>
  <c r="D102" i="117"/>
  <c r="D101" i="117"/>
  <c r="L87" i="117"/>
  <c r="K87" i="117"/>
  <c r="J87" i="117"/>
  <c r="I87" i="117"/>
  <c r="H87" i="117"/>
  <c r="G87" i="117"/>
  <c r="F87" i="117"/>
  <c r="J33" i="110" l="1"/>
  <c r="K33" i="110"/>
  <c r="L33" i="110"/>
  <c r="J34" i="110"/>
  <c r="K34" i="110"/>
  <c r="L34" i="110"/>
  <c r="J35" i="110"/>
  <c r="K35" i="110"/>
  <c r="L35" i="110"/>
  <c r="J36" i="110"/>
  <c r="K36" i="110"/>
  <c r="L36" i="110"/>
  <c r="J37" i="110"/>
  <c r="K37" i="110"/>
  <c r="L37" i="110"/>
  <c r="I35" i="110"/>
  <c r="I36" i="110"/>
  <c r="I37" i="110"/>
  <c r="I33" i="110"/>
  <c r="N33" i="110" l="1"/>
  <c r="D33" i="110" s="1"/>
  <c r="K38" i="110"/>
  <c r="N35" i="110"/>
  <c r="L38" i="110"/>
  <c r="N37" i="110"/>
  <c r="N36" i="110"/>
  <c r="N34" i="110"/>
  <c r="F38" i="110"/>
  <c r="G38" i="110"/>
  <c r="E38" i="110"/>
  <c r="J38" i="110"/>
  <c r="I38" i="110"/>
  <c r="C183" i="123"/>
  <c r="I177" i="123"/>
  <c r="D89" i="116"/>
  <c r="D88" i="116"/>
  <c r="D87" i="116"/>
  <c r="D86" i="116"/>
  <c r="D85" i="116"/>
  <c r="D75" i="116"/>
  <c r="D74" i="116"/>
  <c r="D73" i="116"/>
  <c r="D72" i="116"/>
  <c r="D71" i="116"/>
  <c r="T39" i="116"/>
  <c r="G39" i="116"/>
  <c r="F39" i="116"/>
  <c r="C34" i="110" l="1"/>
  <c r="D34" i="110"/>
  <c r="D36" i="110"/>
  <c r="C36" i="110"/>
  <c r="D37" i="110"/>
  <c r="C35" i="110"/>
  <c r="D35" i="110"/>
  <c r="C33" i="110"/>
  <c r="H38" i="110"/>
  <c r="K479" i="130" l="1"/>
  <c r="L479" i="130"/>
  <c r="AF195" i="130" l="1"/>
  <c r="W195" i="130"/>
  <c r="AF194" i="130"/>
  <c r="W194" i="130"/>
  <c r="N420" i="130"/>
  <c r="M420" i="130"/>
  <c r="H419" i="130"/>
  <c r="M419" i="130" s="1"/>
  <c r="I109" i="128" l="1"/>
  <c r="I108" i="128"/>
  <c r="E196" i="114" l="1"/>
  <c r="F195" i="114"/>
  <c r="B479" i="130" l="1"/>
  <c r="C479" i="130"/>
  <c r="D479" i="130"/>
  <c r="E479" i="130"/>
  <c r="F479" i="130"/>
  <c r="G479" i="130"/>
  <c r="H479" i="130"/>
  <c r="I479" i="130"/>
  <c r="J479" i="130"/>
  <c r="E460" i="130"/>
  <c r="E461" i="130"/>
  <c r="E462" i="130"/>
  <c r="E463" i="130"/>
  <c r="E464" i="130"/>
  <c r="E465" i="130"/>
  <c r="E466" i="130"/>
  <c r="E467" i="130"/>
  <c r="E468" i="130"/>
  <c r="E459" i="130"/>
  <c r="J419" i="130"/>
  <c r="I419" i="130"/>
  <c r="N419" i="130" s="1"/>
  <c r="P221" i="130"/>
  <c r="P222" i="130"/>
  <c r="P223" i="130"/>
  <c r="P224" i="130"/>
  <c r="P225" i="130"/>
  <c r="P226" i="130"/>
  <c r="P227" i="130"/>
  <c r="P228" i="130"/>
  <c r="P229" i="130"/>
  <c r="P230" i="130"/>
  <c r="P231" i="130"/>
  <c r="P232" i="130"/>
  <c r="P233" i="130"/>
  <c r="P234" i="130"/>
  <c r="P220" i="130"/>
  <c r="L221" i="130"/>
  <c r="L222" i="130"/>
  <c r="L223" i="130"/>
  <c r="L224" i="130"/>
  <c r="L225" i="130"/>
  <c r="L226" i="130"/>
  <c r="L227" i="130"/>
  <c r="L228" i="130"/>
  <c r="L229" i="130"/>
  <c r="L230" i="130"/>
  <c r="L231" i="130"/>
  <c r="L232" i="130"/>
  <c r="L233" i="130"/>
  <c r="L234" i="130"/>
  <c r="L235" i="130"/>
  <c r="L236" i="130"/>
  <c r="L237" i="130"/>
  <c r="L238" i="130"/>
  <c r="L239" i="130"/>
  <c r="L240" i="130"/>
  <c r="D221" i="130"/>
  <c r="D222" i="130"/>
  <c r="D223" i="130"/>
  <c r="D224" i="130"/>
  <c r="D225" i="130"/>
  <c r="D226" i="130"/>
  <c r="D227" i="130"/>
  <c r="D228" i="130"/>
  <c r="D229" i="130"/>
  <c r="D230" i="130"/>
  <c r="D231" i="130"/>
  <c r="D232" i="130"/>
  <c r="D233" i="130"/>
  <c r="D234" i="130"/>
  <c r="D220" i="130"/>
  <c r="O419" i="130" l="1"/>
  <c r="I138" i="128"/>
  <c r="I139" i="128"/>
  <c r="I140" i="128"/>
  <c r="I141" i="128"/>
  <c r="I142" i="128"/>
  <c r="I143" i="128"/>
  <c r="I144" i="128"/>
  <c r="I145" i="128"/>
  <c r="I146" i="128"/>
  <c r="I147" i="128"/>
  <c r="I148" i="128"/>
  <c r="I149" i="128"/>
  <c r="I150" i="128"/>
  <c r="I151" i="128"/>
  <c r="I124" i="128"/>
  <c r="I125" i="128"/>
  <c r="I126" i="128"/>
  <c r="I127" i="128"/>
  <c r="I128" i="128"/>
  <c r="I129" i="128"/>
  <c r="I130" i="128"/>
  <c r="I131" i="128"/>
  <c r="I132" i="128"/>
  <c r="I137" i="128"/>
  <c r="I123" i="128"/>
  <c r="I110" i="128"/>
  <c r="I111" i="128"/>
  <c r="I112" i="128"/>
  <c r="I113" i="128"/>
  <c r="I114" i="128"/>
  <c r="I115" i="128"/>
  <c r="I116" i="128"/>
  <c r="D123" i="127" l="1"/>
  <c r="D125" i="127"/>
  <c r="D124" i="127"/>
  <c r="D126" i="127"/>
  <c r="D127" i="127"/>
  <c r="D128" i="127"/>
  <c r="D122" i="127"/>
  <c r="D110" i="127"/>
  <c r="D111" i="127"/>
  <c r="D112" i="127"/>
  <c r="J50" i="126" l="1"/>
  <c r="I50" i="126"/>
  <c r="I30" i="102" l="1"/>
  <c r="I37" i="102" s="1"/>
  <c r="D88" i="115" l="1"/>
  <c r="D87" i="115"/>
  <c r="C24" i="103" l="1"/>
  <c r="C68" i="94"/>
  <c r="C61" i="9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15" authorId="0" shapeId="0" xr:uid="{00000000-0006-0000-0700-000001000000}">
      <text>
        <r>
          <rPr>
            <b/>
            <sz val="9"/>
            <color indexed="81"/>
            <rFont val="Segoe UI"/>
            <family val="2"/>
          </rPr>
          <t>Author:</t>
        </r>
        <r>
          <rPr>
            <sz val="9"/>
            <color indexed="81"/>
            <rFont val="Segoe UI"/>
            <family val="2"/>
          </rPr>
          <t xml:space="preserve">
Flamingo Flower</t>
        </r>
      </text>
    </comment>
    <comment ref="B17" authorId="0" shapeId="0" xr:uid="{00000000-0006-0000-0700-000002000000}">
      <text>
        <r>
          <rPr>
            <b/>
            <sz val="9"/>
            <color indexed="81"/>
            <rFont val="Segoe UI"/>
            <family val="2"/>
          </rPr>
          <t>Author:</t>
        </r>
        <r>
          <rPr>
            <sz val="9"/>
            <color indexed="81"/>
            <rFont val="Segoe UI"/>
            <family val="2"/>
          </rPr>
          <t xml:space="preserve">
Transvaal Daisy
</t>
        </r>
      </text>
    </comment>
    <comment ref="B20" authorId="0" shapeId="0" xr:uid="{00000000-0006-0000-0700-000003000000}">
      <text>
        <r>
          <rPr>
            <b/>
            <sz val="9"/>
            <color indexed="81"/>
            <rFont val="Segoe UI"/>
            <family val="2"/>
          </rPr>
          <t>Author:</t>
        </r>
        <r>
          <rPr>
            <sz val="9"/>
            <color indexed="81"/>
            <rFont val="Segoe UI"/>
            <family val="2"/>
          </rPr>
          <t xml:space="preserve">
Bird of Paradise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14" authorId="0" shapeId="0" xr:uid="{00000000-0006-0000-0D00-000001000000}">
      <text>
        <r>
          <rPr>
            <b/>
            <sz val="9"/>
            <color indexed="81"/>
            <rFont val="Segoe UI"/>
            <family val="2"/>
          </rPr>
          <t>Author:</t>
        </r>
        <r>
          <rPr>
            <sz val="9"/>
            <color indexed="81"/>
            <rFont val="Segoe UI"/>
            <family val="2"/>
          </rPr>
          <t xml:space="preserve">
Daffodil</t>
        </r>
      </text>
    </comment>
    <comment ref="S14" authorId="0" shapeId="0" xr:uid="{00000000-0006-0000-0D00-000002000000}">
      <text>
        <r>
          <rPr>
            <b/>
            <sz val="9"/>
            <color indexed="81"/>
            <rFont val="Segoe UI"/>
            <family val="2"/>
          </rPr>
          <t>Author:</t>
        </r>
        <r>
          <rPr>
            <sz val="9"/>
            <color indexed="81"/>
            <rFont val="Segoe UI"/>
            <family val="2"/>
          </rPr>
          <t xml:space="preserve">
Auswahl: Outdoor nursery and cut flower cultivation</t>
        </r>
      </text>
    </comment>
    <comment ref="B19" authorId="0" shapeId="0" xr:uid="{00000000-0006-0000-0D00-000003000000}">
      <text>
        <r>
          <rPr>
            <b/>
            <sz val="9"/>
            <color indexed="81"/>
            <rFont val="Segoe UI"/>
            <family val="2"/>
          </rPr>
          <t>Author:</t>
        </r>
        <r>
          <rPr>
            <sz val="9"/>
            <color indexed="81"/>
            <rFont val="Segoe UI"/>
            <family val="2"/>
          </rPr>
          <t xml:space="preserve">
Potted daffodil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27" authorId="0" shapeId="0" xr:uid="{00000000-0006-0000-1500-000001000000}">
      <text>
        <r>
          <rPr>
            <b/>
            <sz val="9"/>
            <color indexed="81"/>
            <rFont val="Segoe UI"/>
            <family val="2"/>
          </rPr>
          <t>Author:</t>
        </r>
        <r>
          <rPr>
            <sz val="9"/>
            <color indexed="81"/>
            <rFont val="Segoe UI"/>
            <family val="2"/>
          </rPr>
          <t xml:space="preserve">
Daten kommen in neuen Report 2021 nicht mehr vor</t>
        </r>
      </text>
    </comment>
    <comment ref="B35" authorId="0" shapeId="0" xr:uid="{00000000-0006-0000-1500-000002000000}">
      <text>
        <r>
          <rPr>
            <b/>
            <sz val="9"/>
            <color indexed="81"/>
            <rFont val="Segoe UI"/>
            <family val="2"/>
          </rPr>
          <t>Author:</t>
        </r>
        <r>
          <rPr>
            <sz val="9"/>
            <color indexed="81"/>
            <rFont val="Segoe UI"/>
            <family val="2"/>
          </rPr>
          <t xml:space="preserve">
Daten kommen in neuen Report 2021 nicht mehr vor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21" authorId="0" shapeId="0" xr:uid="{00000000-0006-0000-1A00-000001000000}">
      <text>
        <r>
          <rPr>
            <b/>
            <sz val="9"/>
            <color indexed="81"/>
            <rFont val="Segoe UI"/>
            <family val="2"/>
          </rPr>
          <t>Author:</t>
        </r>
        <r>
          <rPr>
            <sz val="9"/>
            <color indexed="81"/>
            <rFont val="Segoe UI"/>
            <family val="2"/>
          </rPr>
          <t xml:space="preserve">
Land und Forstwirtschaft -&gt;Erhebung landwirtschaftlicher flächen -&gt;Anbauflächen von Gewächshauskulturen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4" authorId="0" shapeId="0" xr:uid="{00000000-0006-0000-1B00-000001000000}">
      <text>
        <r>
          <rPr>
            <b/>
            <sz val="9"/>
            <color indexed="81"/>
            <rFont val="Segoe UI"/>
            <family val="2"/>
          </rPr>
          <t>Author:</t>
        </r>
        <r>
          <rPr>
            <sz val="9"/>
            <color indexed="81"/>
            <rFont val="Segoe UI"/>
            <family val="2"/>
          </rPr>
          <t xml:space="preserve">
für 2021 im PDF Seite 57</t>
        </r>
      </text>
    </comment>
    <comment ref="B16" authorId="0" shapeId="0" xr:uid="{00000000-0006-0000-1B00-000002000000}">
      <text>
        <r>
          <rPr>
            <b/>
            <sz val="9"/>
            <color indexed="81"/>
            <rFont val="Segoe UI"/>
            <family val="2"/>
          </rPr>
          <t>Author:</t>
        </r>
        <r>
          <rPr>
            <sz val="9"/>
            <color indexed="81"/>
            <rFont val="Segoe UI"/>
            <family val="2"/>
          </rPr>
          <t xml:space="preserve">
für 2021 im PDF Seite 59</t>
        </r>
      </text>
    </comment>
    <comment ref="B24" authorId="0" shapeId="0" xr:uid="{00000000-0006-0000-1B00-000003000000}">
      <text>
        <r>
          <rPr>
            <b/>
            <sz val="9"/>
            <color indexed="81"/>
            <rFont val="Segoe UI"/>
            <family val="2"/>
          </rPr>
          <t>Author:</t>
        </r>
        <r>
          <rPr>
            <sz val="9"/>
            <color indexed="81"/>
            <rFont val="Segoe UI"/>
            <family val="2"/>
          </rPr>
          <t xml:space="preserve">
für 2021 im PDF Seite 59</t>
        </r>
      </text>
    </comment>
    <comment ref="B32" authorId="0" shapeId="0" xr:uid="{00000000-0006-0000-1B00-000004000000}">
      <text>
        <r>
          <rPr>
            <b/>
            <sz val="9"/>
            <color indexed="81"/>
            <rFont val="Segoe UI"/>
            <family val="2"/>
          </rPr>
          <t>Author:</t>
        </r>
        <r>
          <rPr>
            <sz val="9"/>
            <color indexed="81"/>
            <rFont val="Segoe UI"/>
            <family val="2"/>
          </rPr>
          <t xml:space="preserve">
für 2021 im PDF Seite 59</t>
        </r>
      </text>
    </comment>
    <comment ref="B40" authorId="0" shapeId="0" xr:uid="{00000000-0006-0000-1B00-000005000000}">
      <text>
        <r>
          <rPr>
            <b/>
            <sz val="9"/>
            <color indexed="81"/>
            <rFont val="Segoe UI"/>
            <family val="2"/>
          </rPr>
          <t>Author:</t>
        </r>
        <r>
          <rPr>
            <sz val="9"/>
            <color indexed="81"/>
            <rFont val="Segoe UI"/>
            <family val="2"/>
          </rPr>
          <t xml:space="preserve">
für 2021 im PDF Seite 59</t>
        </r>
      </text>
    </comment>
  </commentList>
</comments>
</file>

<file path=xl/sharedStrings.xml><?xml version="1.0" encoding="utf-8"?>
<sst xmlns="http://schemas.openxmlformats.org/spreadsheetml/2006/main" count="6943" uniqueCount="2572">
  <si>
    <t>Area</t>
  </si>
  <si>
    <t xml:space="preserve">Production value </t>
  </si>
  <si>
    <t>Number of enterprises</t>
  </si>
  <si>
    <t>Total</t>
  </si>
  <si>
    <t>In million EUR</t>
  </si>
  <si>
    <t>Austria</t>
  </si>
  <si>
    <t>Belgium</t>
  </si>
  <si>
    <t>Denmark</t>
  </si>
  <si>
    <t>Finland</t>
  </si>
  <si>
    <t>France</t>
  </si>
  <si>
    <t>Germany</t>
  </si>
  <si>
    <t>Ireland</t>
  </si>
  <si>
    <t>Italy</t>
  </si>
  <si>
    <t>Netherlands</t>
  </si>
  <si>
    <t>Norway</t>
  </si>
  <si>
    <t>Poland</t>
  </si>
  <si>
    <t>Portugal</t>
  </si>
  <si>
    <t>Spain</t>
  </si>
  <si>
    <t>Sweden</t>
  </si>
  <si>
    <t>Switzerland</t>
  </si>
  <si>
    <t>United Kingdom</t>
  </si>
  <si>
    <t>Israel</t>
  </si>
  <si>
    <t>Turkey</t>
  </si>
  <si>
    <t>Ethiopia</t>
  </si>
  <si>
    <t>Kenya</t>
  </si>
  <si>
    <t>South Africa</t>
  </si>
  <si>
    <t>Australia</t>
  </si>
  <si>
    <t>China</t>
  </si>
  <si>
    <t>Chinese Taipei</t>
  </si>
  <si>
    <t>India</t>
  </si>
  <si>
    <t>Japan</t>
  </si>
  <si>
    <t>Thailand</t>
  </si>
  <si>
    <t>Canada</t>
  </si>
  <si>
    <t>United States</t>
  </si>
  <si>
    <t>Brazil</t>
  </si>
  <si>
    <t>Colombia</t>
  </si>
  <si>
    <t>Costa Rica</t>
  </si>
  <si>
    <t>Ecuador</t>
  </si>
  <si>
    <t>Mexico</t>
  </si>
  <si>
    <t>Bulbs</t>
  </si>
  <si>
    <t>Total </t>
  </si>
  <si>
    <t>AUSTRIA</t>
  </si>
  <si>
    <t xml:space="preserve">Ornamental plants </t>
  </si>
  <si>
    <t>In the open </t>
  </si>
  <si>
    <t>Under cover </t>
  </si>
  <si>
    <t xml:space="preserve">Seeds and young plants </t>
  </si>
  <si>
    <t>Area in hectares</t>
  </si>
  <si>
    <t>2010/11</t>
  </si>
  <si>
    <t>2009/10</t>
  </si>
  <si>
    <t>2008/09</t>
  </si>
  <si>
    <t xml:space="preserve">Under protection </t>
  </si>
  <si>
    <t xml:space="preserve">In the open </t>
  </si>
  <si>
    <t xml:space="preserve">Total </t>
  </si>
  <si>
    <t>Cut flowers</t>
  </si>
  <si>
    <t xml:space="preserve"> Area in hectares</t>
  </si>
  <si>
    <t>BELGIUM</t>
  </si>
  <si>
    <t>Flowers and plants</t>
  </si>
  <si>
    <t>Bulbs and tubers</t>
  </si>
  <si>
    <t xml:space="preserve">    Roses</t>
  </si>
  <si>
    <t>.</t>
  </si>
  <si>
    <t>Azaleas</t>
  </si>
  <si>
    <t>Pot plants</t>
  </si>
  <si>
    <t xml:space="preserve">   Green foliage plants, indoor</t>
  </si>
  <si>
    <t xml:space="preserve">   Flowering pot plants, indoor</t>
  </si>
  <si>
    <t>Bedding plants</t>
  </si>
  <si>
    <t xml:space="preserve">Other </t>
  </si>
  <si>
    <t>In the open</t>
  </si>
  <si>
    <t xml:space="preserve">  Bulbs and tubers</t>
  </si>
  <si>
    <t xml:space="preserve">   Pot chrysanthemums</t>
  </si>
  <si>
    <t xml:space="preserve">   Other pot plants</t>
  </si>
  <si>
    <t>Nursery stock</t>
  </si>
  <si>
    <t>Rose plants</t>
  </si>
  <si>
    <t>Perennials</t>
  </si>
  <si>
    <t>Ornamental trees</t>
  </si>
  <si>
    <t>Fruit trees</t>
  </si>
  <si>
    <t>Under protection</t>
  </si>
  <si>
    <t xml:space="preserve">Production of plants and flowers in greenhouses and in the open </t>
  </si>
  <si>
    <t xml:space="preserve">Number of enterprises </t>
  </si>
  <si>
    <t xml:space="preserve">Flowers and ornamental pot plants </t>
  </si>
  <si>
    <t>BRAZIL</t>
  </si>
  <si>
    <t>Southeast</t>
  </si>
  <si>
    <t>South</t>
  </si>
  <si>
    <t>Sao Paulo</t>
  </si>
  <si>
    <t>Northeast</t>
  </si>
  <si>
    <t>Santa Catarina</t>
  </si>
  <si>
    <t>North</t>
  </si>
  <si>
    <t xml:space="preserve">Rio Grande do Sul </t>
  </si>
  <si>
    <t>Centralwest</t>
  </si>
  <si>
    <t>Rio de Janeiro</t>
  </si>
  <si>
    <t xml:space="preserve"> Total </t>
  </si>
  <si>
    <t>Distrito Federal</t>
  </si>
  <si>
    <t>Paraná</t>
  </si>
  <si>
    <t>Bahia</t>
  </si>
  <si>
    <t xml:space="preserve">Pará </t>
  </si>
  <si>
    <t>Ceará</t>
  </si>
  <si>
    <t xml:space="preserve">Rio Grande do Norte </t>
  </si>
  <si>
    <t>Amazonas</t>
  </si>
  <si>
    <t xml:space="preserve">Esprírito Santo </t>
  </si>
  <si>
    <t>Pernambuco</t>
  </si>
  <si>
    <t>Paraíba</t>
  </si>
  <si>
    <t>Goiás</t>
  </si>
  <si>
    <t>Piauí</t>
  </si>
  <si>
    <t>Alagoas</t>
  </si>
  <si>
    <t>Maranhao</t>
  </si>
  <si>
    <t>Others </t>
  </si>
  <si>
    <t>CHINA</t>
  </si>
  <si>
    <t xml:space="preserve">Flowers and plants </t>
  </si>
  <si>
    <t>Area under protection and in the open in hectares</t>
  </si>
  <si>
    <t>Total area</t>
  </si>
  <si>
    <t xml:space="preserve">Large, medium and </t>
  </si>
  <si>
    <t>Shades</t>
  </si>
  <si>
    <t xml:space="preserve">Energy Saving </t>
  </si>
  <si>
    <t xml:space="preserve"> small sized sheds</t>
  </si>
  <si>
    <t>Roses</t>
  </si>
  <si>
    <t>Lilies</t>
  </si>
  <si>
    <t>Chrysanthemums</t>
  </si>
  <si>
    <t>Gerbera</t>
  </si>
  <si>
    <t>Carnations</t>
  </si>
  <si>
    <t>Gladiolus</t>
  </si>
  <si>
    <t>Cut foliage</t>
  </si>
  <si>
    <t>Orchids</t>
  </si>
  <si>
    <t>Anthurium</t>
  </si>
  <si>
    <t>Flower seeds</t>
  </si>
  <si>
    <t>Dry flowers</t>
  </si>
  <si>
    <t>CHINESE TAIPEI</t>
  </si>
  <si>
    <t>Tuberose</t>
  </si>
  <si>
    <t>Eustoma</t>
  </si>
  <si>
    <t>Dahlia</t>
  </si>
  <si>
    <t>Heliconia</t>
  </si>
  <si>
    <t>Others</t>
  </si>
  <si>
    <t>Seeds</t>
  </si>
  <si>
    <t>Pot flowers</t>
  </si>
  <si>
    <t>COSTA RICA</t>
  </si>
  <si>
    <t>ETHIOPIA</t>
  </si>
  <si>
    <t xml:space="preserve">Cut flowers </t>
  </si>
  <si>
    <t>FINLAND</t>
  </si>
  <si>
    <t xml:space="preserve">Ornamental plants in greenhouses </t>
  </si>
  <si>
    <t xml:space="preserve">Area in hectares </t>
  </si>
  <si>
    <t>Cut flowers and cut foliage</t>
  </si>
  <si>
    <t>Gypsophila</t>
  </si>
  <si>
    <t>Flower bulbs</t>
  </si>
  <si>
    <t>Tulips</t>
  </si>
  <si>
    <t>Hyacinths (pot plants)</t>
  </si>
  <si>
    <t>Narcissus (cutflower)</t>
  </si>
  <si>
    <t>Amaryllis</t>
  </si>
  <si>
    <t xml:space="preserve">Area in hectares  </t>
  </si>
  <si>
    <t xml:space="preserve">Fruit and berry plants </t>
  </si>
  <si>
    <t xml:space="preserve">Ornamental bushes </t>
  </si>
  <si>
    <t>Poinsettias</t>
  </si>
  <si>
    <t xml:space="preserve">Perennials </t>
  </si>
  <si>
    <t>Begonias</t>
  </si>
  <si>
    <t xml:space="preserve">Cut flowers and greens in the open </t>
  </si>
  <si>
    <t>Kalanchoe</t>
  </si>
  <si>
    <t>Saintpaulia</t>
  </si>
  <si>
    <t>Primula</t>
  </si>
  <si>
    <t>Other flowering pot plants</t>
  </si>
  <si>
    <t xml:space="preserve">Foliage plants </t>
  </si>
  <si>
    <t>Pansies</t>
  </si>
  <si>
    <t>-</t>
  </si>
  <si>
    <t>Petunia</t>
  </si>
  <si>
    <t>Pelargonium</t>
  </si>
  <si>
    <t>Lobelia</t>
  </si>
  <si>
    <t xml:space="preserve">Marigold (Tagetes) </t>
  </si>
  <si>
    <t xml:space="preserve">Other bedding plants </t>
  </si>
  <si>
    <t>Plants used in hanging flower pots</t>
  </si>
  <si>
    <t xml:space="preserve">     Cut flowers and cut foliage</t>
  </si>
  <si>
    <t xml:space="preserve">     Flower bulbs</t>
  </si>
  <si>
    <t xml:space="preserve">     Pot plants</t>
  </si>
  <si>
    <t xml:space="preserve">     Bedding plants</t>
  </si>
  <si>
    <t xml:space="preserve">Nursery production </t>
  </si>
  <si>
    <t>Oeillets</t>
  </si>
  <si>
    <t>Foliage</t>
  </si>
  <si>
    <t>HUNGARY</t>
  </si>
  <si>
    <t>Calla</t>
  </si>
  <si>
    <t>IRELAND</t>
  </si>
  <si>
    <t xml:space="preserve">Bulbs, cut flowers  and cut foliage </t>
  </si>
  <si>
    <t>Narcissus (bulbs)</t>
  </si>
  <si>
    <t>Narcissus (cut flower)</t>
  </si>
  <si>
    <t xml:space="preserve">Cut foliage </t>
  </si>
  <si>
    <t>Hardy nursery crops, and other horticultural sectors</t>
  </si>
  <si>
    <t>Cut flowers </t>
  </si>
  <si>
    <t xml:space="preserve">Source: National Amenity Census 2011; Department of Agriculture, Food and the Marine; Bord Bia; Irish Food Board </t>
  </si>
  <si>
    <t>ISRAEL</t>
  </si>
  <si>
    <t>1998/99</t>
  </si>
  <si>
    <t>1995/96</t>
  </si>
  <si>
    <t>Fleurs coupées</t>
  </si>
  <si>
    <t>Carnations, spray</t>
  </si>
  <si>
    <t>Carnations, standard</t>
  </si>
  <si>
    <t>Solidago</t>
  </si>
  <si>
    <t>Soidago</t>
  </si>
  <si>
    <t>Gypsophile</t>
  </si>
  <si>
    <t>Autres fleurs coupées</t>
  </si>
  <si>
    <t>Feuillage coupé</t>
  </si>
  <si>
    <t>Wax flowers</t>
  </si>
  <si>
    <t>Fleurs cirées</t>
  </si>
  <si>
    <t>Production in million stems</t>
  </si>
  <si>
    <t>Statice</t>
  </si>
  <si>
    <t>Limonium</t>
  </si>
  <si>
    <t>Ruscus</t>
  </si>
  <si>
    <t xml:space="preserve">Source: National Flower Board, Israel, Central Bureau of Statistics Israel </t>
  </si>
  <si>
    <t>Area in hectares, quantity in million pieces</t>
  </si>
  <si>
    <t>Alstromeria</t>
  </si>
  <si>
    <t>Cyclamen</t>
  </si>
  <si>
    <t>KOREA, REPUBLIC OF</t>
  </si>
  <si>
    <t>Flowering trees</t>
  </si>
  <si>
    <t>Flowering plants</t>
  </si>
  <si>
    <t>Source: Ministry for Food, Agriculture, Forestry and Fisheries; agricultural office</t>
  </si>
  <si>
    <t xml:space="preserve">Production in greenhouses </t>
  </si>
  <si>
    <t xml:space="preserve">Flowering plants in greenhouses </t>
  </si>
  <si>
    <t>Pieces</t>
  </si>
  <si>
    <t>Freesia</t>
  </si>
  <si>
    <t>Gladioli</t>
  </si>
  <si>
    <t>Snapdragons</t>
  </si>
  <si>
    <t>Lisianthus</t>
  </si>
  <si>
    <t>Iris</t>
  </si>
  <si>
    <t>Marigold</t>
  </si>
  <si>
    <t>Tulip</t>
  </si>
  <si>
    <t>Solidaster</t>
  </si>
  <si>
    <t>Sunflower</t>
  </si>
  <si>
    <t>Stok</t>
  </si>
  <si>
    <t>Aster</t>
  </si>
  <si>
    <t>Bird of paradise</t>
  </si>
  <si>
    <t>Liatris</t>
  </si>
  <si>
    <t>Pink</t>
  </si>
  <si>
    <t xml:space="preserve">Sales value </t>
  </si>
  <si>
    <t>Ornamental plants, total</t>
  </si>
  <si>
    <t>MEXICO</t>
  </si>
  <si>
    <t xml:space="preserve">Tuberose </t>
  </si>
  <si>
    <t>Statice (Limonium)</t>
  </si>
  <si>
    <t>Snapdragon (Antirrhinum)</t>
  </si>
  <si>
    <t>n.s.</t>
  </si>
  <si>
    <t>Alstroemeria</t>
  </si>
  <si>
    <t>Silver Dollar</t>
  </si>
  <si>
    <t>Agapanthus</t>
  </si>
  <si>
    <t>Chamaedorea</t>
  </si>
  <si>
    <t>Ferns</t>
  </si>
  <si>
    <t xml:space="preserve">Pot plants and christmas trees </t>
  </si>
  <si>
    <t>Pot plants in greenhouses</t>
  </si>
  <si>
    <t>Poinsettia</t>
  </si>
  <si>
    <t>Geranium</t>
  </si>
  <si>
    <t>Cineraria</t>
  </si>
  <si>
    <t xml:space="preserve">Zempoalxochitl </t>
  </si>
  <si>
    <t>Christmas trees</t>
  </si>
  <si>
    <t>NORWAY</t>
  </si>
  <si>
    <t>Snittblomster</t>
  </si>
  <si>
    <t>Pot plants, under protection</t>
  </si>
  <si>
    <t>Potteplanter, bedplanter</t>
  </si>
  <si>
    <t>Nursery products</t>
  </si>
  <si>
    <t>Planteskolerprodukter</t>
  </si>
  <si>
    <t>Container grown</t>
  </si>
  <si>
    <t>Karplanteareal</t>
  </si>
  <si>
    <t>Under glass</t>
  </si>
  <si>
    <t>Veksthusareal</t>
  </si>
  <si>
    <t>Cut flowers and pot plants</t>
  </si>
  <si>
    <t xml:space="preserve"> Production in 1 000 pieces</t>
  </si>
  <si>
    <t>Other species</t>
  </si>
  <si>
    <t>Pot plants, flowering</t>
  </si>
  <si>
    <t>Geraniums (all sorts)</t>
  </si>
  <si>
    <t>Potted chrysanthemums</t>
  </si>
  <si>
    <t>African Violets</t>
  </si>
  <si>
    <t>Other flowering potted plants</t>
  </si>
  <si>
    <r>
      <t xml:space="preserve"> Production in 1 000 pieces </t>
    </r>
    <r>
      <rPr>
        <sz val="8"/>
        <color theme="1"/>
        <rFont val="Arial"/>
        <family val="2"/>
      </rPr>
      <t xml:space="preserve"> </t>
    </r>
  </si>
  <si>
    <t>Decorative plants</t>
  </si>
  <si>
    <t>Ivy foliage plants</t>
  </si>
  <si>
    <t>Other decorative plants</t>
  </si>
  <si>
    <t>Lobelias</t>
  </si>
  <si>
    <t>Marguerites</t>
  </si>
  <si>
    <t>Marigolds</t>
  </si>
  <si>
    <t>African daisies</t>
  </si>
  <si>
    <t>Petunias</t>
  </si>
  <si>
    <t>Other bedding plants</t>
  </si>
  <si>
    <t>SWEDEN</t>
  </si>
  <si>
    <t>Production in 1 000 pieces</t>
  </si>
  <si>
    <t>Narcissus</t>
  </si>
  <si>
    <t>Hyacinths</t>
  </si>
  <si>
    <t>Pelargoniums</t>
  </si>
  <si>
    <t xml:space="preserve">Hortensia </t>
  </si>
  <si>
    <t>Pot chrysanthemums</t>
  </si>
  <si>
    <t>Saintpaulias</t>
  </si>
  <si>
    <t>Green Pot Plants</t>
  </si>
  <si>
    <t>Violas</t>
  </si>
  <si>
    <t>Marigold (Tagetes)</t>
  </si>
  <si>
    <t>Impatiens</t>
  </si>
  <si>
    <t>Deciduous trees</t>
  </si>
  <si>
    <t>Conifers</t>
  </si>
  <si>
    <t>Ornamental bushes</t>
  </si>
  <si>
    <t>Rose bushes</t>
  </si>
  <si>
    <t>Only container cultivation</t>
  </si>
  <si>
    <t>Bulb flowers</t>
  </si>
  <si>
    <t>Bulb flowers for cutting</t>
  </si>
  <si>
    <t xml:space="preserve">Nursery plants in the open </t>
  </si>
  <si>
    <t>SWITZERLAND</t>
  </si>
  <si>
    <t>Forest plants</t>
  </si>
  <si>
    <t>Horticultural crops in greenhouses (without vegetables)</t>
  </si>
  <si>
    <t xml:space="preserve">Nurseries with forest trees </t>
  </si>
  <si>
    <t xml:space="preserve">Nurseries with christmas trees </t>
  </si>
  <si>
    <t xml:space="preserve">Nurseries with ornamental trees </t>
  </si>
  <si>
    <t>Other nurseries</t>
  </si>
  <si>
    <t xml:space="preserve">Enterprises with horticultural production in greenhouses </t>
  </si>
  <si>
    <t>THAILAND</t>
  </si>
  <si>
    <t>Area in hectares, amount in tons</t>
  </si>
  <si>
    <t>Amount (in t) </t>
  </si>
  <si>
    <t>Jasmine</t>
  </si>
  <si>
    <t>Lotus</t>
  </si>
  <si>
    <t>Pandanus and other palms</t>
  </si>
  <si>
    <t>Ficus</t>
  </si>
  <si>
    <t>Bambus</t>
  </si>
  <si>
    <t>Source: 2013 Agricultural Census, National Statistical Office, Ministry of Information and Communication Technology</t>
  </si>
  <si>
    <t xml:space="preserve">VIETNAM </t>
  </si>
  <si>
    <t>Products</t>
  </si>
  <si>
    <t>Other cut flowers and foliage</t>
  </si>
  <si>
    <t>Total plants and ornamental trees</t>
  </si>
  <si>
    <t xml:space="preserve">Regions </t>
  </si>
  <si>
    <t>Lam Dong Province (Dalat)</t>
  </si>
  <si>
    <t>HCMC (Cu chi)</t>
  </si>
  <si>
    <t>Hanoi (Tay tuu, Tu Liem)</t>
  </si>
  <si>
    <t>Hai Phong (Red river delta)</t>
  </si>
  <si>
    <t xml:space="preserve">Lao Cai (Sapa, north) </t>
  </si>
  <si>
    <t xml:space="preserve">Red river delta </t>
  </si>
  <si>
    <t>Sourth east</t>
  </si>
  <si>
    <t>South west</t>
  </si>
  <si>
    <t xml:space="preserve">published in: An overwiew of the floriculturall sector in Greater China, Vietnam and Thailand, Summer 2008, </t>
  </si>
  <si>
    <t>Ministry of Agriculture, Nature and Food Quality of the Netherlands</t>
  </si>
  <si>
    <t>Plants, cut flowers and foliage</t>
  </si>
  <si>
    <t xml:space="preserve">Orchids, total </t>
  </si>
  <si>
    <t xml:space="preserve">Area of production under protection </t>
  </si>
  <si>
    <t xml:space="preserve"> In hectares</t>
  </si>
  <si>
    <t>Korea, Republic of</t>
  </si>
  <si>
    <t xml:space="preserve">In greenhouses/under protection </t>
  </si>
  <si>
    <t>Narcissus (pot plant)</t>
  </si>
  <si>
    <t xml:space="preserve">Cut flowers in the open </t>
  </si>
  <si>
    <t xml:space="preserve">Cut flowers under protection  </t>
  </si>
  <si>
    <t>Begonia (all sorts)</t>
  </si>
  <si>
    <t xml:space="preserve">Area in ha </t>
  </si>
  <si>
    <t>Forest trees</t>
  </si>
  <si>
    <t xml:space="preserve">In greenhouses </t>
  </si>
  <si>
    <t>Area in hectares, number of enterprises</t>
  </si>
  <si>
    <t>Flower bulbs (pot plants)</t>
  </si>
  <si>
    <t>Flower bulbs (for cutting)</t>
  </si>
  <si>
    <t>Young plants and cuttings</t>
  </si>
  <si>
    <t>Bulbs, outdoor flowers and foliage sector</t>
  </si>
  <si>
    <t>Value at farm-gate, in million EUR</t>
  </si>
  <si>
    <t>Crown flower (Calotropis)</t>
  </si>
  <si>
    <t>White chempaka (Michelia)</t>
  </si>
  <si>
    <t>Ornamental nursery stock</t>
  </si>
  <si>
    <t xml:space="preserve">   Pot chrysanthemums </t>
  </si>
  <si>
    <t>Minas Gerais</t>
  </si>
  <si>
    <t>Laurel</t>
  </si>
  <si>
    <t>Ozothamnus</t>
  </si>
  <si>
    <t xml:space="preserve">Pittosporum </t>
  </si>
  <si>
    <t xml:space="preserve">Eucalyptus </t>
  </si>
  <si>
    <t>Other </t>
  </si>
  <si>
    <t xml:space="preserve">Geraniums </t>
  </si>
  <si>
    <t xml:space="preserve">Begonias </t>
  </si>
  <si>
    <t xml:space="preserve">Others </t>
  </si>
  <si>
    <t xml:space="preserve">Number of farms </t>
  </si>
  <si>
    <t xml:space="preserve">Nursery stock </t>
  </si>
  <si>
    <t>Nursery stock, open field and container</t>
  </si>
  <si>
    <t xml:space="preserve">Other area nursery stock </t>
  </si>
  <si>
    <t>Total cut flowers and foliage</t>
  </si>
  <si>
    <t>2015/16</t>
  </si>
  <si>
    <t>Helianthus</t>
  </si>
  <si>
    <t>With shades</t>
  </si>
  <si>
    <t xml:space="preserve">Open air </t>
  </si>
  <si>
    <t>Nursery plants</t>
  </si>
  <si>
    <t>Potted plants and seedlings</t>
  </si>
  <si>
    <t>In greenhouses</t>
  </si>
  <si>
    <t xml:space="preserve">IRAN </t>
  </si>
  <si>
    <t>Hanging pots</t>
  </si>
  <si>
    <t>MALAYSIA</t>
  </si>
  <si>
    <t>Greenhouses</t>
  </si>
  <si>
    <t xml:space="preserve">Flower markets </t>
  </si>
  <si>
    <t xml:space="preserve">total </t>
  </si>
  <si>
    <t>Flower enterprises</t>
  </si>
  <si>
    <t>Type of cultivation</t>
  </si>
  <si>
    <t xml:space="preserve">Type of product </t>
  </si>
  <si>
    <t>Nursery stock and ornamental plants</t>
  </si>
  <si>
    <t xml:space="preserve">Nursery stock and cut flowers, in the open </t>
  </si>
  <si>
    <t>Total nursery stock</t>
  </si>
  <si>
    <r>
      <t xml:space="preserve">2013 </t>
    </r>
    <r>
      <rPr>
        <b/>
        <vertAlign val="superscript"/>
        <sz val="8"/>
        <color theme="1"/>
        <rFont val="Arial"/>
        <family val="2"/>
      </rPr>
      <t>1</t>
    </r>
  </si>
  <si>
    <r>
      <t>Production under protection</t>
    </r>
    <r>
      <rPr>
        <b/>
        <vertAlign val="superscript"/>
        <sz val="8"/>
        <color theme="1"/>
        <rFont val="Arial"/>
        <family val="2"/>
      </rPr>
      <t xml:space="preserve">1 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</si>
  <si>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95% plastic tunnels, 5% greenhouses (glass)</t>
    </r>
  </si>
  <si>
    <t>Flower markets and enterprises</t>
  </si>
  <si>
    <t xml:space="preserve">Use of area </t>
  </si>
  <si>
    <t>Number of</t>
  </si>
  <si>
    <t>enterprises</t>
  </si>
  <si>
    <t xml:space="preserve">           Nursery plants</t>
  </si>
  <si>
    <t xml:space="preserve">           Forest trees </t>
  </si>
  <si>
    <t xml:space="preserve">Christmas trees </t>
  </si>
  <si>
    <t>Enterprises with horticultural production</t>
  </si>
  <si>
    <r>
      <t xml:space="preserve">Enterprises with horticultural production 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</si>
  <si>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8"/>
        <color theme="1"/>
        <rFont val="Calibri"/>
        <family val="2"/>
        <scheme val="minor"/>
      </rPr>
      <t>1</t>
    </r>
    <r>
      <rPr>
        <sz val="8"/>
        <color theme="1"/>
        <rFont val="Calibri"/>
        <family val="2"/>
        <scheme val="minor"/>
      </rPr>
      <t xml:space="preserve"> Standardoutput between 1/3 and  2/3 from horticulture</t>
    </r>
  </si>
  <si>
    <t>Production in 1 000 dozens</t>
  </si>
  <si>
    <t xml:space="preserve">Cut flowers, total </t>
  </si>
  <si>
    <t>Area under protection in hectares, production in 1 000 pieces</t>
  </si>
  <si>
    <t>Impatiens species</t>
  </si>
  <si>
    <t xml:space="preserve">Silver ragwort </t>
  </si>
  <si>
    <t>Bedding begonia</t>
  </si>
  <si>
    <r>
      <rPr>
        <vertAlign val="superscript"/>
        <sz val="7"/>
        <color rgb="FF000000"/>
        <rFont val="Arial"/>
        <family val="2"/>
      </rPr>
      <t>1</t>
    </r>
    <r>
      <rPr>
        <sz val="7"/>
        <color rgb="FF000000"/>
        <rFont val="Arial"/>
        <family val="2"/>
      </rPr>
      <t xml:space="preserve"> planted area </t>
    </r>
  </si>
  <si>
    <t>Orchid</t>
  </si>
  <si>
    <t>Dracaena</t>
  </si>
  <si>
    <t>Palm (Tree)</t>
  </si>
  <si>
    <t>Source: Ethiopian Horticulture Producer Exporters Association (EHPEA)</t>
  </si>
  <si>
    <t>Cuttings</t>
  </si>
  <si>
    <r>
      <t>2016/17</t>
    </r>
    <r>
      <rPr>
        <b/>
        <vertAlign val="superscript"/>
        <sz val="8"/>
        <color theme="1"/>
        <rFont val="Arial"/>
        <family val="2"/>
      </rPr>
      <t xml:space="preserve"> </t>
    </r>
  </si>
  <si>
    <t>Tuberouse</t>
  </si>
  <si>
    <t>Gerberas</t>
  </si>
  <si>
    <t>Tuberoses</t>
  </si>
  <si>
    <t xml:space="preserve">Other cut flowers </t>
  </si>
  <si>
    <t>Alborz</t>
  </si>
  <si>
    <t>Ilam</t>
  </si>
  <si>
    <t>Bushehr</t>
  </si>
  <si>
    <t>Tehran</t>
  </si>
  <si>
    <t>Khorasan Razzavi</t>
  </si>
  <si>
    <t>Khuzestan</t>
  </si>
  <si>
    <t>Fars</t>
  </si>
  <si>
    <t>Gilan</t>
  </si>
  <si>
    <t>Mazandaran</t>
  </si>
  <si>
    <t>Markazi</t>
  </si>
  <si>
    <t>open field</t>
  </si>
  <si>
    <t>Province</t>
  </si>
  <si>
    <t xml:space="preserve">under protection </t>
  </si>
  <si>
    <t xml:space="preserve"> Others</t>
  </si>
  <si>
    <t xml:space="preserve">Orchids (in ha) </t>
  </si>
  <si>
    <t xml:space="preserve">Production </t>
  </si>
  <si>
    <t>Production by province</t>
  </si>
  <si>
    <t>In million branch</t>
  </si>
  <si>
    <t xml:space="preserve">In million </t>
  </si>
  <si>
    <t>Area in ha</t>
  </si>
  <si>
    <r>
      <rPr>
        <vertAlign val="superscript"/>
        <sz val="8"/>
        <color theme="1"/>
        <rFont val="Calibri"/>
        <family val="2"/>
        <scheme val="minor"/>
      </rPr>
      <t>2</t>
    </r>
    <r>
      <rPr>
        <sz val="8"/>
        <color theme="1"/>
        <rFont val="Calibri"/>
        <family val="2"/>
        <scheme val="minor"/>
      </rPr>
      <t xml:space="preserve"> Standardoutput more than 2/3 from horticulture</t>
    </r>
  </si>
  <si>
    <r>
      <t xml:space="preserve">Specialized enterprises with mainly horticultural production </t>
    </r>
    <r>
      <rPr>
        <vertAlign val="superscript"/>
        <sz val="11"/>
        <color theme="1"/>
        <rFont val="Calibri"/>
        <family val="2"/>
        <scheme val="minor"/>
      </rPr>
      <t>2</t>
    </r>
  </si>
  <si>
    <t>Nursery plants, vine plants and forest plants</t>
  </si>
  <si>
    <t xml:space="preserve">Pot plants </t>
  </si>
  <si>
    <t>Scaevola</t>
  </si>
  <si>
    <t>Sanvitalia</t>
  </si>
  <si>
    <t>Begonia semperflorens</t>
  </si>
  <si>
    <t>Jacobaea maritima</t>
  </si>
  <si>
    <t>Verbena</t>
  </si>
  <si>
    <t>Other pot plants</t>
  </si>
  <si>
    <t>Berry bushes</t>
  </si>
  <si>
    <t xml:space="preserve">Total  </t>
  </si>
  <si>
    <t xml:space="preserve">Under </t>
  </si>
  <si>
    <t>protection</t>
  </si>
  <si>
    <t>Flower and foliage plants</t>
  </si>
  <si>
    <t>Horticultural output</t>
  </si>
  <si>
    <t xml:space="preserve">Per capita consumption </t>
  </si>
  <si>
    <t xml:space="preserve">Total market value </t>
  </si>
  <si>
    <t xml:space="preserve">Source: Hortica Consulting and Market Intelligence </t>
  </si>
  <si>
    <t>Oncidiums</t>
  </si>
  <si>
    <t>Magnolia</t>
  </si>
  <si>
    <t>INDONESIA</t>
  </si>
  <si>
    <t>Souce: Marwoto, Budi: Development of Floriculture Industry in Indonesia, 2017, Presentation AIPH Annual Congress, 2017</t>
  </si>
  <si>
    <t>Souce: Marwoto, Budi: Development of Floriculture Industry in Indonesia, 2017, Presentation AIPH Annual Congress 2017</t>
  </si>
  <si>
    <r>
      <t xml:space="preserve">2018 </t>
    </r>
    <r>
      <rPr>
        <b/>
        <vertAlign val="superscript"/>
        <sz val="8"/>
        <color theme="1"/>
        <rFont val="Arial"/>
        <family val="2"/>
      </rPr>
      <t>1</t>
    </r>
  </si>
  <si>
    <t>Guilan</t>
  </si>
  <si>
    <t>Isfahan</t>
  </si>
  <si>
    <t>Khozestan</t>
  </si>
  <si>
    <t xml:space="preserve">Production open field </t>
  </si>
  <si>
    <t>Trees and shrubs</t>
  </si>
  <si>
    <t>Seasonal plants/young plants</t>
  </si>
  <si>
    <t xml:space="preserve">       Flowering pot plants</t>
  </si>
  <si>
    <t xml:space="preserve">       Foliage pot plants</t>
  </si>
  <si>
    <r>
      <t xml:space="preserve">Pot plants under protection </t>
    </r>
    <r>
      <rPr>
        <b/>
        <vertAlign val="superscript"/>
        <sz val="12"/>
        <color theme="1"/>
        <rFont val="Arial"/>
        <family val="2"/>
      </rPr>
      <t>1</t>
    </r>
  </si>
  <si>
    <t>Production by province in hectares and million pieces</t>
  </si>
  <si>
    <r>
      <t xml:space="preserve">2017 </t>
    </r>
    <r>
      <rPr>
        <b/>
        <vertAlign val="superscript"/>
        <sz val="8"/>
        <color theme="1"/>
        <rFont val="Arial"/>
        <family val="2"/>
      </rPr>
      <t>2</t>
    </r>
  </si>
  <si>
    <t>1 Flowering pot plants and foliage pot plants</t>
  </si>
  <si>
    <t>2 Pot plants</t>
  </si>
  <si>
    <t xml:space="preserve">Open field </t>
  </si>
  <si>
    <t xml:space="preserve">Trees and shrubs </t>
  </si>
  <si>
    <t>Potted roses</t>
  </si>
  <si>
    <r>
      <t>Motherday roses</t>
    </r>
    <r>
      <rPr>
        <vertAlign val="superscript"/>
        <sz val="8"/>
        <color theme="1"/>
        <rFont val="Arial"/>
        <family val="2"/>
      </rPr>
      <t>1</t>
    </r>
  </si>
  <si>
    <r>
      <t xml:space="preserve">2019 </t>
    </r>
    <r>
      <rPr>
        <b/>
        <vertAlign val="superscript"/>
        <sz val="8"/>
        <color theme="1"/>
        <rFont val="Arial"/>
        <family val="2"/>
      </rPr>
      <t>1</t>
    </r>
  </si>
  <si>
    <t>Source: Boletín Estadístico Agropecuario Nr.29, Secretaría Ejecutiva de Planificación Sectorial Agropecuaria</t>
  </si>
  <si>
    <t>Flowering potted plants</t>
  </si>
  <si>
    <t xml:space="preserve">Number of Enterprises </t>
  </si>
  <si>
    <r>
      <t>Pot plants</t>
    </r>
    <r>
      <rPr>
        <vertAlign val="superscript"/>
        <sz val="8"/>
        <color theme="1"/>
        <rFont val="Arial"/>
        <family val="2"/>
      </rPr>
      <t xml:space="preserve"> </t>
    </r>
  </si>
  <si>
    <t>Peninsular Malaysia</t>
  </si>
  <si>
    <t>Sabah</t>
  </si>
  <si>
    <t>Sarawak</t>
  </si>
  <si>
    <t>Labuan Federal Territory</t>
  </si>
  <si>
    <t>Area, production and production value in ha, million pieces and million RM</t>
  </si>
  <si>
    <t>Area by regions in hectares</t>
  </si>
  <si>
    <r>
      <t>Planted Area </t>
    </r>
    <r>
      <rPr>
        <sz val="8"/>
        <color theme="1"/>
        <rFont val="Arial"/>
        <family val="2"/>
      </rPr>
      <t>(in ha)</t>
    </r>
  </si>
  <si>
    <r>
      <t>Production </t>
    </r>
    <r>
      <rPr>
        <sz val="8"/>
        <color theme="1"/>
        <rFont val="Arial"/>
        <family val="2"/>
      </rPr>
      <t> (in million cutting/pot/plant)</t>
    </r>
  </si>
  <si>
    <r>
      <t xml:space="preserve">Production value </t>
    </r>
    <r>
      <rPr>
        <sz val="8"/>
        <color theme="1"/>
        <rFont val="Arial"/>
        <family val="2"/>
      </rPr>
      <t xml:space="preserve">(in million RM) </t>
    </r>
  </si>
  <si>
    <t>Malaysia</t>
  </si>
  <si>
    <t>Turnover Veiling Holambra</t>
  </si>
  <si>
    <t>in EUR</t>
  </si>
  <si>
    <t xml:space="preserve">in Brasilian Real (BRL) </t>
  </si>
  <si>
    <t>In million Brasilian Real (BRL) /in million EUR</t>
  </si>
  <si>
    <t xml:space="preserve">Total market value (in billion BRL) and per capita consumption (in BRL) </t>
  </si>
  <si>
    <t>Pot plants and bedding plants</t>
  </si>
  <si>
    <t xml:space="preserve">Bedding plants </t>
  </si>
  <si>
    <t xml:space="preserve">Crops in the open </t>
  </si>
  <si>
    <t>Nursery  stocks</t>
  </si>
  <si>
    <t>Ornamental trees, shrubs</t>
  </si>
  <si>
    <t xml:space="preserve">Source: Hungarian Interbranch Organization for Ornamental Horticulture, 2020 </t>
  </si>
  <si>
    <t>2020</t>
  </si>
  <si>
    <t>Source:  Department of Agriculture, Food and the Marine, Annual report 2020</t>
  </si>
  <si>
    <t>Source: National Institute of Horticultural and Herbal Science</t>
  </si>
  <si>
    <t>Won</t>
  </si>
  <si>
    <t>Euro</t>
  </si>
  <si>
    <t>Source: Swedish Board of Agriculture, Garden production 2020</t>
  </si>
  <si>
    <t>https://www.bundesbank.de/resource/blob/856124/c52d5849cfbc1db56a820b49182ff43a/mL/2021-01-15-12-17-20-wechselkursstatistik-data.pdf</t>
  </si>
  <si>
    <t>Source: Ibraflor</t>
  </si>
  <si>
    <r>
      <t xml:space="preserve">2020 </t>
    </r>
    <r>
      <rPr>
        <b/>
        <vertAlign val="superscript"/>
        <sz val="8"/>
        <color theme="1"/>
        <rFont val="Arial"/>
        <family val="2"/>
      </rPr>
      <t>1</t>
    </r>
  </si>
  <si>
    <t>Cut flowers, foliage and branches</t>
    <phoneticPr fontId="0" type="noConversion"/>
  </si>
  <si>
    <t>Cut flowers</t>
    <phoneticPr fontId="0" type="noConversion"/>
  </si>
  <si>
    <t>Roses</t>
    <phoneticPr fontId="0" type="noConversion"/>
  </si>
  <si>
    <t>Lilies</t>
    <phoneticPr fontId="0" type="noConversion"/>
  </si>
  <si>
    <t>Chrysanthemums</t>
    <phoneticPr fontId="0" type="noConversion"/>
  </si>
  <si>
    <t>Gerbera</t>
    <phoneticPr fontId="0" type="noConversion"/>
  </si>
  <si>
    <t>Carnations</t>
    <phoneticPr fontId="0" type="noConversion"/>
  </si>
  <si>
    <t>Gladioli</t>
    <phoneticPr fontId="0" type="noConversion"/>
  </si>
  <si>
    <t>Cut foliage</t>
    <phoneticPr fontId="0" type="noConversion"/>
  </si>
  <si>
    <t>Cut branches</t>
    <phoneticPr fontId="0" type="noConversion"/>
  </si>
  <si>
    <t>Pot plants</t>
    <phoneticPr fontId="0" type="noConversion"/>
  </si>
  <si>
    <t>Flowering and green pot plants</t>
    <phoneticPr fontId="0" type="noConversion"/>
  </si>
  <si>
    <t>Marantaceae</t>
    <phoneticPr fontId="0" type="noConversion"/>
  </si>
  <si>
    <t>Bromeliads</t>
    <phoneticPr fontId="0" type="noConversion"/>
  </si>
  <si>
    <t>Anthurium</t>
    <phoneticPr fontId="0" type="noConversion"/>
  </si>
  <si>
    <t>Rhododendron and azalea</t>
    <phoneticPr fontId="0" type="noConversion"/>
  </si>
  <si>
    <t xml:space="preserve">Cymbidium </t>
    <phoneticPr fontId="0" type="noConversion"/>
  </si>
  <si>
    <t>Phalaenopsis</t>
    <phoneticPr fontId="0" type="noConversion"/>
  </si>
  <si>
    <t>Bonsai</t>
    <phoneticPr fontId="0" type="noConversion"/>
  </si>
  <si>
    <t>Bedding plants</t>
    <phoneticPr fontId="0" type="noConversion"/>
  </si>
  <si>
    <t>Nursery stock</t>
    <phoneticPr fontId="0" type="noConversion"/>
  </si>
  <si>
    <t>Seedlings</t>
    <phoneticPr fontId="0" type="noConversion"/>
  </si>
  <si>
    <t>Bulbs</t>
    <phoneticPr fontId="0" type="noConversion"/>
  </si>
  <si>
    <t>AUSTRALIA</t>
  </si>
  <si>
    <t xml:space="preserve">Population: </t>
  </si>
  <si>
    <t xml:space="preserve">millions </t>
  </si>
  <si>
    <t>Surface area:</t>
  </si>
  <si>
    <t>km²</t>
  </si>
  <si>
    <t>Population density:</t>
  </si>
  <si>
    <t>people per km²</t>
  </si>
  <si>
    <r>
      <t>Gross national income</t>
    </r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>:</t>
    </r>
  </si>
  <si>
    <t>in billion $</t>
  </si>
  <si>
    <t xml:space="preserve"> - per capita:</t>
  </si>
  <si>
    <t>in $</t>
  </si>
  <si>
    <t>Purchasing power parity:</t>
  </si>
  <si>
    <t xml:space="preserve">(gross national income) </t>
  </si>
  <si>
    <t>per capita in $</t>
  </si>
  <si>
    <t>Gross domestic product:</t>
  </si>
  <si>
    <t>% growth</t>
  </si>
  <si>
    <t xml:space="preserve">Gross domestic product: </t>
  </si>
  <si>
    <t xml:space="preserve">per capita % growth 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</si>
  <si>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>Atlas method</t>
    </r>
  </si>
  <si>
    <t>Gross value of agricultural products</t>
  </si>
  <si>
    <t>Value in millions of  Australian Dollars</t>
  </si>
  <si>
    <t>2018/19</t>
  </si>
  <si>
    <t>2017/18</t>
  </si>
  <si>
    <t>2016/17</t>
  </si>
  <si>
    <t>Total agriculture</t>
  </si>
  <si>
    <t xml:space="preserve">Crops </t>
  </si>
  <si>
    <t xml:space="preserve">Nurseries, total </t>
  </si>
  <si>
    <t xml:space="preserve">Undercover </t>
  </si>
  <si>
    <t>Outdoor</t>
  </si>
  <si>
    <t xml:space="preserve">Cutflower, total </t>
  </si>
  <si>
    <t>2019/20</t>
  </si>
  <si>
    <t>2014/15</t>
  </si>
  <si>
    <t>2013/14</t>
  </si>
  <si>
    <t>2012/13</t>
  </si>
  <si>
    <t>Number of agricultural enterprises</t>
  </si>
  <si>
    <t>Nurseries</t>
  </si>
  <si>
    <t>Propagation plants</t>
  </si>
  <si>
    <t xml:space="preserve">Herbs and vegetables </t>
  </si>
  <si>
    <t xml:space="preserve">Fruit trees, nut trees and vines </t>
  </si>
  <si>
    <t>Bedding and potted color plants</t>
  </si>
  <si>
    <t>Indoor plants</t>
  </si>
  <si>
    <t>Other plants</t>
  </si>
  <si>
    <t xml:space="preserve">Cut flowers  (in stems) </t>
  </si>
  <si>
    <t>Source: Australian Bureau of Statistics, Agricultural Commodities, Australia and state /territory 2016/17, 2019</t>
  </si>
  <si>
    <t>Area by state, in hectares</t>
  </si>
  <si>
    <t xml:space="preserve">in % </t>
  </si>
  <si>
    <t>New South Wales</t>
  </si>
  <si>
    <t>Victoria</t>
  </si>
  <si>
    <t>Queensland</t>
  </si>
  <si>
    <t>Western Australia</t>
  </si>
  <si>
    <t>Tasmania</t>
  </si>
  <si>
    <t>Other</t>
  </si>
  <si>
    <t xml:space="preserve">Imports </t>
  </si>
  <si>
    <t xml:space="preserve">Flowers and plants, value in 1 000 EUR </t>
  </si>
  <si>
    <t>Cut flowers and flower buds (HS-Code 0603)</t>
  </si>
  <si>
    <t>Bulbs, tubers, corms, etc. (HS-Code 0601)</t>
  </si>
  <si>
    <t>Live plants (including their roots) (HS-Code 0602)</t>
  </si>
  <si>
    <t>Foliage, branches and other parts of plants (HS-Code 0604)</t>
  </si>
  <si>
    <t xml:space="preserve">Exports </t>
  </si>
  <si>
    <t>Imports</t>
  </si>
  <si>
    <t xml:space="preserve">Cut flowers, value in 1 000 EUR </t>
  </si>
  <si>
    <t>Partner country</t>
  </si>
  <si>
    <t>Viet Nam</t>
  </si>
  <si>
    <t>Taipei, Chinese</t>
  </si>
  <si>
    <t>CANADA</t>
  </si>
  <si>
    <t xml:space="preserve">(Gross national income) 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</si>
  <si>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Atlas method</t>
    </r>
  </si>
  <si>
    <t xml:space="preserve">heading: </t>
  </si>
  <si>
    <r>
      <t xml:space="preserve">Flowers and plants, greenhouse area </t>
    </r>
    <r>
      <rPr>
        <b/>
        <vertAlign val="superscript"/>
        <sz val="8"/>
        <color theme="1"/>
        <rFont val="Arial"/>
        <family val="2"/>
      </rPr>
      <t>1</t>
    </r>
  </si>
  <si>
    <t>Glass greenhouses</t>
  </si>
  <si>
    <r>
      <t xml:space="preserve">Rigid plastic </t>
    </r>
    <r>
      <rPr>
        <vertAlign val="superscript"/>
        <sz val="8"/>
        <color theme="1"/>
        <rFont val="Arial"/>
        <family val="2"/>
      </rPr>
      <t>2</t>
    </r>
  </si>
  <si>
    <t>Poly -film</t>
  </si>
  <si>
    <t>Cut flowers, field grown</t>
  </si>
  <si>
    <t xml:space="preserve">Nursery area, total </t>
  </si>
  <si>
    <t xml:space="preserve">    Open field </t>
  </si>
  <si>
    <t xml:space="preserve">open field </t>
  </si>
  <si>
    <t xml:space="preserve">    Container </t>
  </si>
  <si>
    <r>
      <rPr>
        <vertAlign val="superscript"/>
        <sz val="7"/>
        <color theme="1"/>
        <rFont val="Arial"/>
        <family val="2"/>
      </rPr>
      <t>1</t>
    </r>
    <r>
      <rPr>
        <sz val="7"/>
        <color theme="1"/>
        <rFont val="Arial"/>
        <family val="2"/>
      </rPr>
      <t xml:space="preserve">  Excludes mixed operations (vegetables, flowers and plants) </t>
    </r>
  </si>
  <si>
    <r>
      <rPr>
        <vertAlign val="superscript"/>
        <sz val="7"/>
        <color theme="1"/>
        <rFont val="Arial"/>
        <family val="2"/>
      </rPr>
      <t>2</t>
    </r>
    <r>
      <rPr>
        <sz val="7"/>
        <color theme="1"/>
        <rFont val="Arial"/>
        <family val="2"/>
      </rPr>
      <t xml:space="preserve"> Includes all other type of enclosed protection (rigid insulation, mine shafts, shelters) </t>
    </r>
  </si>
  <si>
    <t>Number of enterprises or operations</t>
  </si>
  <si>
    <t>Greenhouse operations, flowers and plants</t>
  </si>
  <si>
    <t>Operations with field grown cut flowers</t>
  </si>
  <si>
    <t xml:space="preserve">Results of the Census of Agriculture </t>
  </si>
  <si>
    <t xml:space="preserve">Floriculture </t>
  </si>
  <si>
    <r>
      <t>Nursery</t>
    </r>
    <r>
      <rPr>
        <b/>
        <vertAlign val="superscript"/>
        <sz val="8"/>
        <color theme="1"/>
        <rFont val="Arial"/>
        <family val="2"/>
      </rPr>
      <t xml:space="preserve"> 1</t>
    </r>
  </si>
  <si>
    <r>
      <rPr>
        <vertAlign val="superscript"/>
        <sz val="7"/>
        <color theme="1"/>
        <rFont val="Arial"/>
        <family val="2"/>
      </rPr>
      <t>1</t>
    </r>
    <r>
      <rPr>
        <sz val="7"/>
        <color theme="1"/>
        <rFont val="Arial"/>
        <family val="2"/>
      </rPr>
      <t xml:space="preserve"> In 2016 without operations producing tree seedlings for reforestation</t>
    </r>
  </si>
  <si>
    <r>
      <t>Number of farms</t>
    </r>
    <r>
      <rPr>
        <b/>
        <vertAlign val="superscript"/>
        <sz val="10"/>
        <color theme="1"/>
        <rFont val="Arial"/>
        <family val="2"/>
      </rPr>
      <t xml:space="preserve">  1</t>
    </r>
  </si>
  <si>
    <r>
      <t xml:space="preserve">Nursery </t>
    </r>
    <r>
      <rPr>
        <b/>
        <vertAlign val="superscript"/>
        <sz val="8"/>
        <color theme="1"/>
        <rFont val="Arial"/>
        <family val="2"/>
      </rPr>
      <t>2</t>
    </r>
  </si>
  <si>
    <t xml:space="preserve">Source: Statistical overview Canadian Ornamental Industry- 2016, Agriculture and Agri-Food Canada, 2018 </t>
  </si>
  <si>
    <t>Cut flowers and cuttings</t>
  </si>
  <si>
    <t xml:space="preserve">In 1 000 stems </t>
  </si>
  <si>
    <t>Antirrhinum (Snapdragon)</t>
  </si>
  <si>
    <t>Freesias</t>
  </si>
  <si>
    <t>In 1 000 pieces, field and container grown</t>
  </si>
  <si>
    <t>Conifer trees</t>
  </si>
  <si>
    <t>2 461</t>
  </si>
  <si>
    <t>Shade and ornamental trees</t>
  </si>
  <si>
    <t xml:space="preserve">Deciduous shrubs (including roses) </t>
  </si>
  <si>
    <t>Evergreen and conifer shrubs</t>
  </si>
  <si>
    <t>Evergreen and broadleaf shrubs</t>
  </si>
  <si>
    <t xml:space="preserve">Small fruit bushes </t>
  </si>
  <si>
    <t>Perennials and annuals</t>
  </si>
  <si>
    <t>15 619</t>
  </si>
  <si>
    <t>Flowers and plants, potted</t>
  </si>
  <si>
    <t>In 1 000 pieces, stems or pots</t>
  </si>
  <si>
    <t>Indoor plants, potted</t>
  </si>
  <si>
    <t xml:space="preserve">Roses, miniature </t>
  </si>
  <si>
    <t>African violets</t>
  </si>
  <si>
    <t>Tulips, indoor potted</t>
  </si>
  <si>
    <t>Azalea</t>
  </si>
  <si>
    <t>Foliage and green plants</t>
  </si>
  <si>
    <t>Indoor hanging pots</t>
  </si>
  <si>
    <t>Other indoor potted plants</t>
  </si>
  <si>
    <t>Outdoor plants, potted</t>
  </si>
  <si>
    <t>Geraniums</t>
  </si>
  <si>
    <t>Calibrachoas</t>
  </si>
  <si>
    <t>Vegetable plants</t>
  </si>
  <si>
    <t>Outdoor potted fine herb plants</t>
  </si>
  <si>
    <t>Outdoor hanging pots</t>
  </si>
  <si>
    <t>Herbaceous flowering perennials</t>
  </si>
  <si>
    <t>Total potted plants, in- and outdoor</t>
  </si>
  <si>
    <t xml:space="preserve">Cuttings, pot plants </t>
  </si>
  <si>
    <t xml:space="preserve">Cuttings </t>
  </si>
  <si>
    <t>Ornamental bedding plants</t>
  </si>
  <si>
    <t xml:space="preserve">Potted plants </t>
  </si>
  <si>
    <t>farm gate value (before sales tax)</t>
  </si>
  <si>
    <t xml:space="preserve">Farm gate value (before sales tax) </t>
  </si>
  <si>
    <t xml:space="preserve">Value in million CAD, Farm gate value (before sales tax) </t>
  </si>
  <si>
    <t>Potted plants</t>
  </si>
  <si>
    <t xml:space="preserve">Direct sales to the public </t>
  </si>
  <si>
    <t>Fruit growers</t>
  </si>
  <si>
    <t>Landscape contractors</t>
  </si>
  <si>
    <t>Garden centres</t>
  </si>
  <si>
    <t>Mass market chain stores</t>
  </si>
  <si>
    <t>Other growers</t>
  </si>
  <si>
    <t>Exported</t>
  </si>
  <si>
    <t>Government and public agencies</t>
  </si>
  <si>
    <t>Other channels</t>
  </si>
  <si>
    <t>Production of nursery stock</t>
  </si>
  <si>
    <t>Production area</t>
  </si>
  <si>
    <t>In ha</t>
  </si>
  <si>
    <t>In %</t>
  </si>
  <si>
    <t>Ontario</t>
  </si>
  <si>
    <t>British Columbia</t>
  </si>
  <si>
    <t>Alberta</t>
  </si>
  <si>
    <t>Quebec</t>
  </si>
  <si>
    <t>Manitoba</t>
  </si>
  <si>
    <t>Saskatchewan</t>
  </si>
  <si>
    <t>Nova Scotia</t>
  </si>
  <si>
    <t>New Brunswick</t>
  </si>
  <si>
    <t xml:space="preserve">CANADA  - External trade ornamental horticultural products </t>
  </si>
  <si>
    <t xml:space="preserve">Bulbs, tubers etc. </t>
  </si>
  <si>
    <t xml:space="preserve">    Bulbs and tubers, corms etc. dormant</t>
  </si>
  <si>
    <t xml:space="preserve">    Bulbs and tubers, in growth or flower</t>
  </si>
  <si>
    <t xml:space="preserve">Live plants etc. </t>
  </si>
  <si>
    <t xml:space="preserve">    Unrooted cuttings and slips</t>
  </si>
  <si>
    <t xml:space="preserve">    Fruit trees and bushes</t>
  </si>
  <si>
    <t xml:space="preserve">    Rhododendrons and azaleas</t>
  </si>
  <si>
    <t xml:space="preserve">    Roses, plants</t>
  </si>
  <si>
    <t xml:space="preserve">    Mushroom spawn and other life plants</t>
  </si>
  <si>
    <t>Other cut flowers, fresh</t>
  </si>
  <si>
    <t>Cut flowers, dried or otherwise treated</t>
  </si>
  <si>
    <t>Foliage, Branches, other parts of plants, fresh</t>
  </si>
  <si>
    <t>Foliage, Branches, other parts of plants, treated</t>
  </si>
  <si>
    <t>Partner Country</t>
  </si>
  <si>
    <t xml:space="preserve"> Imports </t>
  </si>
  <si>
    <t xml:space="preserve"> Cut foliage and branches, value in 1 000 EUR</t>
  </si>
  <si>
    <t xml:space="preserve">Bulbs </t>
  </si>
  <si>
    <t>Bulbs and tubers, corms etc., dormant</t>
  </si>
  <si>
    <t>Bulbs and tubers, in growth or flower</t>
  </si>
  <si>
    <t xml:space="preserve">Live plants </t>
  </si>
  <si>
    <t>Unrooted cutings and slips</t>
  </si>
  <si>
    <t>Fruit trees and bushes</t>
  </si>
  <si>
    <t>Rhododendrons and azaleas</t>
  </si>
  <si>
    <t>Roses, plants</t>
  </si>
  <si>
    <t>Mushroom spawn and other life plants</t>
  </si>
  <si>
    <t>Foliage, branches, other parts of plants, fresh</t>
  </si>
  <si>
    <t>Foliage, branches, other parts of plants, treated</t>
  </si>
  <si>
    <t>Cut flowers and cut foliage, value in 1 000 EUR</t>
  </si>
  <si>
    <t>Cut foliage, branches</t>
  </si>
  <si>
    <t>Panama</t>
  </si>
  <si>
    <t>Bermuda</t>
  </si>
  <si>
    <t>COLOMBIA</t>
  </si>
  <si>
    <r>
      <rPr>
        <vertAlign val="superscript"/>
        <sz val="8"/>
        <color theme="1"/>
        <rFont val="Arial"/>
        <family val="2"/>
      </rPr>
      <t xml:space="preserve">1 </t>
    </r>
    <r>
      <rPr>
        <sz val="8"/>
        <color theme="1"/>
        <rFont val="Arial"/>
        <family val="2"/>
      </rPr>
      <t>Atlas method</t>
    </r>
  </si>
  <si>
    <t>Hydrangea</t>
  </si>
  <si>
    <t xml:space="preserve">Carnations </t>
  </si>
  <si>
    <t xml:space="preserve">Chrysanthemums </t>
  </si>
  <si>
    <t>Cocculus</t>
  </si>
  <si>
    <t>Lily</t>
  </si>
  <si>
    <t>Eucalyptus</t>
  </si>
  <si>
    <t>Leucadendron</t>
  </si>
  <si>
    <t xml:space="preserve">Roses </t>
  </si>
  <si>
    <t>Production of cut flowers and cut foliage</t>
  </si>
  <si>
    <t xml:space="preserve">in ha </t>
  </si>
  <si>
    <t>Cundinamarca</t>
  </si>
  <si>
    <t>Antioquia</t>
  </si>
  <si>
    <t>Caldas</t>
  </si>
  <si>
    <t>&lt;1</t>
  </si>
  <si>
    <t>Boyacá</t>
  </si>
  <si>
    <t>Valle de Cauca</t>
  </si>
  <si>
    <t>Risaralda</t>
  </si>
  <si>
    <t>Norte de Santander</t>
  </si>
  <si>
    <t xml:space="preserve">Colombia - External trade ornamental horticultural products </t>
  </si>
  <si>
    <t>Flowers and plants, value in 1 000 EUR</t>
  </si>
  <si>
    <t>Foliage, branches and other parts of plants  (HS-Code 0604)</t>
  </si>
  <si>
    <t>Flowers and plants, quantity in tons</t>
  </si>
  <si>
    <t>Cut flowers, fresh, value in 1 000 EUR</t>
  </si>
  <si>
    <t>Russian Federation</t>
  </si>
  <si>
    <t>Chile</t>
  </si>
  <si>
    <t>Czech Republic</t>
  </si>
  <si>
    <t>Ukraine</t>
  </si>
  <si>
    <t xml:space="preserve"> Exports </t>
  </si>
  <si>
    <t>Hortensia</t>
  </si>
  <si>
    <t xml:space="preserve">Other cut flowers, fresh </t>
  </si>
  <si>
    <t xml:space="preserve">Other cut flowers, treated </t>
  </si>
  <si>
    <t>Roses, fresh, value in 1 000 EUR</t>
  </si>
  <si>
    <t>Kazakhstan</t>
  </si>
  <si>
    <t>Romania</t>
  </si>
  <si>
    <t>DENMARK</t>
  </si>
  <si>
    <r>
      <t xml:space="preserve">Production value </t>
    </r>
    <r>
      <rPr>
        <b/>
        <sz val="10"/>
        <color theme="1"/>
        <rFont val="Arial"/>
        <family val="2"/>
      </rPr>
      <t>at basic price</t>
    </r>
  </si>
  <si>
    <t>Values at current prices (In million EUR)</t>
  </si>
  <si>
    <t>42 900</t>
  </si>
  <si>
    <t>Year</t>
  </si>
  <si>
    <r>
      <t>Ornamental plants and flowers</t>
    </r>
    <r>
      <rPr>
        <b/>
        <vertAlign val="superscript"/>
        <sz val="10"/>
        <color theme="1"/>
        <rFont val="Arial"/>
        <family val="2"/>
      </rPr>
      <t xml:space="preserve"> 1</t>
    </r>
  </si>
  <si>
    <r>
      <t>Gross national income</t>
    </r>
    <r>
      <rPr>
        <b/>
        <vertAlign val="superscript"/>
        <sz val="10"/>
        <color theme="1"/>
        <rFont val="Arial"/>
        <family val="2"/>
      </rPr>
      <t xml:space="preserve"> 1</t>
    </r>
    <r>
      <rPr>
        <b/>
        <sz val="10"/>
        <color theme="1"/>
        <rFont val="Arial"/>
        <family val="2"/>
      </rPr>
      <t>:</t>
    </r>
  </si>
  <si>
    <t>Source: Eurostat</t>
  </si>
  <si>
    <t>Total under protection</t>
  </si>
  <si>
    <t xml:space="preserve">Under protection, total </t>
  </si>
  <si>
    <t xml:space="preserve">   Flowering pot plants</t>
  </si>
  <si>
    <t xml:space="preserve">   Foliage pot plants</t>
  </si>
  <si>
    <t>Bedding plants etc.</t>
  </si>
  <si>
    <t xml:space="preserve">Bulbs and flowers </t>
  </si>
  <si>
    <t>Bulbs and flowers</t>
  </si>
  <si>
    <t xml:space="preserve">Source: Statistics Denmark, Statbank Business sectors/Agriculture, horticulture and forestry/Crops/ Crops in green house  by unit, region, crop and time (VHUS), Crops by area, unit, crop and time </t>
  </si>
  <si>
    <t>Nursery stock, christmas trees an decorative greenery</t>
  </si>
  <si>
    <t xml:space="preserve">   Area under protection</t>
  </si>
  <si>
    <t>Christmas trees and decorative greenery</t>
  </si>
  <si>
    <t xml:space="preserve">   With area under protection </t>
  </si>
  <si>
    <t>Nursery</t>
  </si>
  <si>
    <t>stock</t>
  </si>
  <si>
    <t xml:space="preserve">In ha </t>
  </si>
  <si>
    <t>Syddanmark</t>
  </si>
  <si>
    <t>Midtjylland</t>
  </si>
  <si>
    <t>Sjælland</t>
  </si>
  <si>
    <t>Hovedstaden</t>
  </si>
  <si>
    <t>Nordjylland</t>
  </si>
  <si>
    <t>Production of christmas trees and decorative greenery</t>
  </si>
  <si>
    <t xml:space="preserve">Christmas </t>
  </si>
  <si>
    <t>trees</t>
  </si>
  <si>
    <t>Source: Statistics Denmark, Statbank, Business sectors/Agriculture/Crops/Cultivated area by region, unit and crop</t>
  </si>
  <si>
    <t>Denmark - External trade ornamental horticultural products</t>
  </si>
  <si>
    <t>Live plants (with roots) and cuttings (without roots)</t>
  </si>
  <si>
    <t>Live plants (excl. Fruit trees and bushes)</t>
  </si>
  <si>
    <t>Cuttings and slips (without roots)</t>
  </si>
  <si>
    <t>Cut foliage, branches, mosses and lichens etc., fresh or treated</t>
  </si>
  <si>
    <t>Cut foliage, branches, mosses and lichens etc. , fresh (incl. Christmas trees)</t>
  </si>
  <si>
    <t>Cut foliage, branches, mosses and lichens, dried or treated</t>
  </si>
  <si>
    <t>Bulbs, tubers, etc.</t>
  </si>
  <si>
    <t>Bulbs, tubers, etc., flowering or in growth</t>
  </si>
  <si>
    <t>Bulbs, tubers, etc., dormant</t>
  </si>
  <si>
    <t>Cut flowers, treated</t>
  </si>
  <si>
    <t>Lithuania</t>
  </si>
  <si>
    <t>Imports by Denmark</t>
  </si>
  <si>
    <t>Exports by Denmark</t>
  </si>
  <si>
    <t>ECUADOR</t>
  </si>
  <si>
    <t>Population:</t>
  </si>
  <si>
    <t xml:space="preserve">Population density: </t>
  </si>
  <si>
    <r>
      <t>Gross national income</t>
    </r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 xml:space="preserve"> :</t>
    </r>
  </si>
  <si>
    <r>
      <t xml:space="preserve">Area in hectares </t>
    </r>
    <r>
      <rPr>
        <b/>
        <vertAlign val="superscript"/>
        <sz val="10"/>
        <color theme="1"/>
        <rFont val="Arial"/>
        <family val="2"/>
      </rPr>
      <t>1</t>
    </r>
  </si>
  <si>
    <t>Bajo invernadero</t>
  </si>
  <si>
    <t xml:space="preserve">Other flowers </t>
  </si>
  <si>
    <t>Rosa</t>
  </si>
  <si>
    <t>Delphinium</t>
  </si>
  <si>
    <t>Clavel</t>
  </si>
  <si>
    <t>Hypericum</t>
  </si>
  <si>
    <t>Other annual flowers</t>
  </si>
  <si>
    <t>otras flores transitorias</t>
  </si>
  <si>
    <t>Other perennial flowers</t>
  </si>
  <si>
    <t>otras flores permanentes</t>
  </si>
  <si>
    <t>Campo abierto</t>
  </si>
  <si>
    <t>Girasoles</t>
  </si>
  <si>
    <t xml:space="preserve">   totales </t>
  </si>
  <si>
    <r>
      <rPr>
        <vertAlign val="superscript"/>
        <sz val="7"/>
        <color theme="1"/>
        <rFont val="Arial"/>
        <family val="2"/>
      </rPr>
      <t xml:space="preserve">1 </t>
    </r>
    <r>
      <rPr>
        <sz val="7"/>
        <color theme="1"/>
        <rFont val="Arial"/>
        <family val="2"/>
      </rPr>
      <t>planted surface (plantada o sembrada)</t>
    </r>
  </si>
  <si>
    <t xml:space="preserve">Production in million pieces </t>
  </si>
  <si>
    <t>Distribution of production area in 2013</t>
  </si>
  <si>
    <t xml:space="preserve">Production of cut flowers </t>
  </si>
  <si>
    <t xml:space="preserve">Total: 9 328 ha </t>
  </si>
  <si>
    <t>Production of cut flowers 2013</t>
  </si>
  <si>
    <t xml:space="preserve">Production area </t>
  </si>
  <si>
    <t>in %</t>
  </si>
  <si>
    <t>Pichincha</t>
  </si>
  <si>
    <t>Cotopaxi</t>
  </si>
  <si>
    <t>Carchi</t>
  </si>
  <si>
    <t>Imbaruba</t>
  </si>
  <si>
    <t>Azuay</t>
  </si>
  <si>
    <t xml:space="preserve">others </t>
  </si>
  <si>
    <t xml:space="preserve">Production of roses (cut flowers) in 2013 </t>
  </si>
  <si>
    <t xml:space="preserve">Total: 5 573 ha </t>
  </si>
  <si>
    <t>Cut Flower Rosa</t>
  </si>
  <si>
    <t>Canar</t>
  </si>
  <si>
    <t xml:space="preserve">Source: Instituto Nacional de Estadistica y Censos (INEC) ESPAC - 2013 Bases de Datos </t>
  </si>
  <si>
    <t>ECUADOR  External trade ornamental horticultural products</t>
  </si>
  <si>
    <t xml:space="preserve">Export </t>
  </si>
  <si>
    <t>Qatar</t>
  </si>
  <si>
    <t>Kuwait</t>
  </si>
  <si>
    <t>Belarus</t>
  </si>
  <si>
    <t>Trinidad and Tobago</t>
  </si>
  <si>
    <t>United Arab Emirates</t>
  </si>
  <si>
    <t xml:space="preserve">Exports  </t>
  </si>
  <si>
    <t>Others cut flowers, fresh</t>
  </si>
  <si>
    <t>Cut flowers, quantity in tons</t>
  </si>
  <si>
    <t>FRANCE</t>
  </si>
  <si>
    <r>
      <t>Production value </t>
    </r>
    <r>
      <rPr>
        <b/>
        <sz val="10"/>
        <color theme="1"/>
        <rFont val="Arial"/>
        <family val="2"/>
      </rPr>
      <t>at basic price</t>
    </r>
  </si>
  <si>
    <t>Value at current prices (In million EUR)</t>
  </si>
  <si>
    <t xml:space="preserve">Flowers and ornamental plants </t>
  </si>
  <si>
    <t>Distribution of production area in 2010</t>
  </si>
  <si>
    <t>Cut flowers and foliage</t>
  </si>
  <si>
    <t>Production of flowers and ornamental plants</t>
  </si>
  <si>
    <t xml:space="preserve">Total: 9 816 ha </t>
  </si>
  <si>
    <t xml:space="preserve">Flower bulbs </t>
  </si>
  <si>
    <t xml:space="preserve">Bedding plants and perennials </t>
  </si>
  <si>
    <t xml:space="preserve">Flower and </t>
  </si>
  <si>
    <t>Cuttings and young plants</t>
  </si>
  <si>
    <t>ornamental plants</t>
  </si>
  <si>
    <r>
      <rPr>
        <vertAlign val="superscript"/>
        <sz val="7"/>
        <color theme="1"/>
        <rFont val="Arial"/>
        <family val="2"/>
      </rPr>
      <t>1</t>
    </r>
    <r>
      <rPr>
        <sz val="7"/>
        <color theme="1"/>
        <rFont val="Arial"/>
        <family val="2"/>
      </rPr>
      <t xml:space="preserve"> provisional</t>
    </r>
  </si>
  <si>
    <t xml:space="preserve">  Aquitaine</t>
  </si>
  <si>
    <t xml:space="preserve">  Bourgogne</t>
  </si>
  <si>
    <t xml:space="preserve">  Bretagne </t>
  </si>
  <si>
    <t xml:space="preserve">  Centre</t>
  </si>
  <si>
    <t xml:space="preserve">  Ile-de-France</t>
  </si>
  <si>
    <t>Container</t>
  </si>
  <si>
    <t xml:space="preserve">  Languedoc-Roussillon</t>
  </si>
  <si>
    <t xml:space="preserve">Under protection (tunnels etc.) </t>
  </si>
  <si>
    <t xml:space="preserve">  Midi-Pyrenees</t>
  </si>
  <si>
    <t>In glasshouses</t>
  </si>
  <si>
    <t xml:space="preserve">  Nord-Pas-de-Calais</t>
  </si>
  <si>
    <t xml:space="preserve">  Pays de la Loire</t>
  </si>
  <si>
    <t xml:space="preserve">  Poitou-Charentes</t>
  </si>
  <si>
    <t xml:space="preserve">  Provence-Alpes-Côte dÁzur</t>
  </si>
  <si>
    <t>Flowers and plants  2019</t>
  </si>
  <si>
    <t xml:space="preserve">  Rhone-Alpes</t>
  </si>
  <si>
    <t>Area and number of enterprises by region</t>
  </si>
  <si>
    <t>  Other regions*</t>
  </si>
  <si>
    <t xml:space="preserve">Number of </t>
  </si>
  <si>
    <t xml:space="preserve">Area </t>
  </si>
  <si>
    <t xml:space="preserve">Area under </t>
  </si>
  <si>
    <t> *incl. oversea regions</t>
  </si>
  <si>
    <t xml:space="preserve">By region </t>
  </si>
  <si>
    <t>Grand Est</t>
  </si>
  <si>
    <t>Bourgogne Franche Comte</t>
  </si>
  <si>
    <t>Production of ornamental nursery stock, fruit and forest trees</t>
  </si>
  <si>
    <t>Nouvelle Aquitaine</t>
  </si>
  <si>
    <t>Occitanie</t>
  </si>
  <si>
    <t>Auvergne Rhone Alpes</t>
  </si>
  <si>
    <t>Ornamental nursery stocks,</t>
  </si>
  <si>
    <r>
      <t xml:space="preserve">PACA </t>
    </r>
    <r>
      <rPr>
        <vertAlign val="superscript"/>
        <sz val="10"/>
        <color theme="1"/>
        <rFont val="Arial"/>
        <family val="2"/>
      </rPr>
      <t>1</t>
    </r>
  </si>
  <si>
    <t xml:space="preserve"> fruit and forest trees</t>
  </si>
  <si>
    <r>
      <rPr>
        <vertAlign val="superscript"/>
        <sz val="7"/>
        <color theme="1"/>
        <rFont val="Calibri"/>
        <family val="2"/>
      </rPr>
      <t xml:space="preserve">1 </t>
    </r>
    <r>
      <rPr>
        <sz val="7"/>
        <color theme="1"/>
        <rFont val="Calibri"/>
        <family val="2"/>
      </rPr>
      <t xml:space="preserve">Provence-Alpes-Cote d´Azur </t>
    </r>
  </si>
  <si>
    <t>Flowers and plants  2018</t>
  </si>
  <si>
    <t xml:space="preserve">  Basse-Normandie</t>
  </si>
  <si>
    <t xml:space="preserve">In </t>
  </si>
  <si>
    <t xml:space="preserve"> glasshoueses </t>
  </si>
  <si>
    <t>containern</t>
  </si>
  <si>
    <t>(tunnels)</t>
  </si>
  <si>
    <t>Hauts de France</t>
  </si>
  <si>
    <t>Normandie</t>
  </si>
  <si>
    <t>Bretagne</t>
  </si>
  <si>
    <t>Pays de la Loire</t>
  </si>
  <si>
    <t>Centre Val de Loire</t>
  </si>
  <si>
    <t>Ile de France</t>
  </si>
  <si>
    <t xml:space="preserve">  Picardie</t>
  </si>
  <si>
    <t>Source: FranceAgriMer, 2018: Observatoire des donnèes structurelles des entreprises de production de l`horticulture et de la pèpinière ornamentales</t>
  </si>
  <si>
    <t xml:space="preserve">  Other regions*</t>
  </si>
  <si>
    <t>*incl. oversea regions</t>
  </si>
  <si>
    <t>Source: Recensement agricole 2010</t>
  </si>
  <si>
    <t>Number of enterprises, sales volume in million Euros</t>
  </si>
  <si>
    <t xml:space="preserve">Sales volume </t>
  </si>
  <si>
    <t>Production and retail market</t>
  </si>
  <si>
    <t>Production only</t>
  </si>
  <si>
    <t xml:space="preserve">Young plants (Pot, bedding plants) </t>
  </si>
  <si>
    <t>Young plants (Nursery stock)</t>
  </si>
  <si>
    <t xml:space="preserve">Value of sales by plant category </t>
  </si>
  <si>
    <t xml:space="preserve">In million EUR </t>
  </si>
  <si>
    <t>Young plants (pot plants)</t>
  </si>
  <si>
    <t>Young plants (bedding plants)</t>
  </si>
  <si>
    <t>Young plants (nursery stock)</t>
  </si>
  <si>
    <t xml:space="preserve">In 1 000 EUR </t>
  </si>
  <si>
    <r>
      <rPr>
        <vertAlign val="superscript"/>
        <sz val="7"/>
        <color theme="1"/>
        <rFont val="Calibri"/>
        <family val="2"/>
      </rPr>
      <t>1</t>
    </r>
    <r>
      <rPr>
        <sz val="7"/>
        <color theme="1"/>
        <rFont val="Calibri"/>
        <family val="2"/>
      </rPr>
      <t xml:space="preserve"> Provence-Alpes-Cote d´Azur </t>
    </r>
  </si>
  <si>
    <t>France - External trade ornamental horticultural products</t>
  </si>
  <si>
    <t>Fruit trees, shrubs and bushes</t>
  </si>
  <si>
    <t>Imports by France</t>
  </si>
  <si>
    <t>Algeria</t>
  </si>
  <si>
    <t>Exports by France</t>
  </si>
  <si>
    <t>GERMANY</t>
  </si>
  <si>
    <r>
      <t>Production value </t>
    </r>
    <r>
      <rPr>
        <b/>
        <sz val="10"/>
        <rFont val="Arial"/>
        <family val="2"/>
      </rPr>
      <t>at producer prices</t>
    </r>
  </si>
  <si>
    <t xml:space="preserve">Value at current prices (in million EUR) </t>
  </si>
  <si>
    <r>
      <t xml:space="preserve">Flowers and ornamental plants </t>
    </r>
    <r>
      <rPr>
        <b/>
        <vertAlign val="superscript"/>
        <sz val="10"/>
        <color theme="1"/>
        <rFont val="Arial"/>
        <family val="2"/>
      </rPr>
      <t>1</t>
    </r>
  </si>
  <si>
    <t>2020e</t>
  </si>
  <si>
    <r>
      <rPr>
        <vertAlign val="superscript"/>
        <sz val="8"/>
        <color theme="1"/>
        <rFont val="Arial"/>
        <family val="2"/>
      </rPr>
      <t xml:space="preserve"> 1</t>
    </r>
    <r>
      <rPr>
        <sz val="8"/>
        <color theme="1"/>
        <rFont val="Arial"/>
        <family val="2"/>
      </rPr>
      <t>Atlas method</t>
    </r>
  </si>
  <si>
    <r>
      <rPr>
        <vertAlign val="superscript"/>
        <sz val="7"/>
        <color theme="1"/>
        <rFont val="Arial"/>
        <family val="2"/>
      </rPr>
      <t xml:space="preserve"> 1 </t>
    </r>
    <r>
      <rPr>
        <sz val="7"/>
        <color theme="1"/>
        <rFont val="Arial"/>
        <family val="2"/>
      </rPr>
      <t>incl. Christmas trees   e: estimated p: provisional </t>
    </r>
  </si>
  <si>
    <t>Flowers and ornamental plants</t>
  </si>
  <si>
    <t>Under glass/protection</t>
  </si>
  <si>
    <t xml:space="preserve">      Heated area under glass/protection</t>
  </si>
  <si>
    <t xml:space="preserve">Area finished plants, total </t>
  </si>
  <si>
    <t xml:space="preserve">Ornamental plants, bedding plants, perennials </t>
  </si>
  <si>
    <t xml:space="preserve">Cut flowers, cut foliage and ornamental pumkins </t>
  </si>
  <si>
    <t xml:space="preserve">Cut flowers and ornamental pumkins </t>
  </si>
  <si>
    <t xml:space="preserve">Propagation area, total </t>
  </si>
  <si>
    <t>Flower bulbs, tubers, seeds</t>
  </si>
  <si>
    <t>Young plants, half-finished plants</t>
  </si>
  <si>
    <r>
      <rPr>
        <vertAlign val="superscript"/>
        <sz val="7"/>
        <color theme="1"/>
        <rFont val="Arial"/>
        <family val="2"/>
      </rPr>
      <t xml:space="preserve"> 1</t>
    </r>
    <r>
      <rPr>
        <sz val="7"/>
        <color theme="1"/>
        <rFont val="Arial"/>
        <family val="2"/>
      </rPr>
      <t xml:space="preserve"> Area without multiple cropping  (surface area) from enterprises with more than 0,3 ha in the open and/or 0,1 ha under glass/protection </t>
    </r>
  </si>
  <si>
    <t xml:space="preserve">* unter hohen begehbaren Schutzabdeckungen einschl. Gewächshäusern </t>
  </si>
  <si>
    <t xml:space="preserve">With production of </t>
  </si>
  <si>
    <t>Ornamental plants etc.</t>
  </si>
  <si>
    <t xml:space="preserve">  Baden-Württemberg</t>
  </si>
  <si>
    <t xml:space="preserve">  Bavaria</t>
  </si>
  <si>
    <t xml:space="preserve">  Berlin and Bremen</t>
  </si>
  <si>
    <t xml:space="preserve">  Brandenburg</t>
  </si>
  <si>
    <t xml:space="preserve">  Hamburg</t>
  </si>
  <si>
    <t xml:space="preserve">  Hessen</t>
  </si>
  <si>
    <t xml:space="preserve">  Mecklenburg-Vorpommern</t>
  </si>
  <si>
    <t xml:space="preserve">  Lower Saxony</t>
  </si>
  <si>
    <t xml:space="preserve">  Northrhine-Westphalia</t>
  </si>
  <si>
    <t xml:space="preserve">  Rhineland-Palatinate</t>
  </si>
  <si>
    <t xml:space="preserve">  Saarland</t>
  </si>
  <si>
    <t xml:space="preserve">  Saxony</t>
  </si>
  <si>
    <t xml:space="preserve">  Saxony-Anhalt</t>
  </si>
  <si>
    <t xml:space="preserve">  Schleswig-Holstein</t>
  </si>
  <si>
    <t xml:space="preserve">  Thuringa</t>
  </si>
  <si>
    <t>Production of ornamental plants</t>
  </si>
  <si>
    <t xml:space="preserve">Ornamental </t>
  </si>
  <si>
    <t>plants</t>
  </si>
  <si>
    <t xml:space="preserve"> In %</t>
  </si>
  <si>
    <t xml:space="preserve">  Hamburg, Berlin, Bremen</t>
  </si>
  <si>
    <t>Production of cut flowers</t>
  </si>
  <si>
    <r>
      <t xml:space="preserve"> Area in hectares</t>
    </r>
    <r>
      <rPr>
        <b/>
        <vertAlign val="superscript"/>
        <sz val="10"/>
        <color theme="1"/>
        <rFont val="Arial"/>
        <family val="2"/>
      </rPr>
      <t xml:space="preserve"> 1</t>
    </r>
  </si>
  <si>
    <t>Im Freiland</t>
  </si>
  <si>
    <r>
      <t xml:space="preserve">Summer flowers, perennials for cuttings </t>
    </r>
    <r>
      <rPr>
        <vertAlign val="superscript"/>
        <sz val="8"/>
        <color theme="1"/>
        <rFont val="Arial"/>
        <family val="2"/>
      </rPr>
      <t>2</t>
    </r>
  </si>
  <si>
    <t>Sommerblumen/Schnittstauden</t>
  </si>
  <si>
    <t>Summer flowers, perennials for cuttings</t>
  </si>
  <si>
    <t>Rosen</t>
  </si>
  <si>
    <t>Chrysanthemen</t>
  </si>
  <si>
    <r>
      <t xml:space="preserve">Other cut flowers </t>
    </r>
    <r>
      <rPr>
        <vertAlign val="superscript"/>
        <sz val="8"/>
        <color theme="1"/>
        <rFont val="Arial"/>
        <family val="2"/>
      </rPr>
      <t>3</t>
    </r>
  </si>
  <si>
    <t>sonstige Schnittblumen</t>
  </si>
  <si>
    <t>Shrubs for cutting</t>
  </si>
  <si>
    <t>Gehölze zum Grün-, Blüten- und Fruchtschnitt</t>
  </si>
  <si>
    <t>In Gewächshäusern</t>
  </si>
  <si>
    <t>Tulpen</t>
  </si>
  <si>
    <r>
      <t xml:space="preserve">Other cut flowers </t>
    </r>
    <r>
      <rPr>
        <vertAlign val="superscript"/>
        <sz val="8"/>
        <color theme="1"/>
        <rFont val="Arial"/>
        <family val="2"/>
      </rPr>
      <t>4</t>
    </r>
  </si>
  <si>
    <t>Other cut flowers</t>
  </si>
  <si>
    <r>
      <rPr>
        <vertAlign val="superscript"/>
        <sz val="7"/>
        <color theme="1"/>
        <rFont val="Arial"/>
        <family val="2"/>
      </rPr>
      <t xml:space="preserve">1 </t>
    </r>
    <r>
      <rPr>
        <sz val="7"/>
        <color theme="1"/>
        <rFont val="Arial"/>
        <family val="2"/>
      </rPr>
      <t>Multiple cropping possible (cultivated area), including cut foliage</t>
    </r>
  </si>
  <si>
    <r>
      <rPr>
        <vertAlign val="superscript"/>
        <sz val="7"/>
        <color theme="1"/>
        <rFont val="Arial"/>
        <family val="2"/>
      </rPr>
      <t xml:space="preserve">2 </t>
    </r>
    <r>
      <rPr>
        <sz val="7"/>
        <color theme="1"/>
        <rFont val="Arial"/>
        <family val="2"/>
      </rPr>
      <t xml:space="preserve">In the open e.g. peonies,  under protection e.g. lilies </t>
    </r>
  </si>
  <si>
    <r>
      <rPr>
        <vertAlign val="superscript"/>
        <sz val="7"/>
        <color theme="1"/>
        <rFont val="Arial"/>
        <family val="2"/>
      </rPr>
      <t>3</t>
    </r>
    <r>
      <rPr>
        <sz val="7"/>
        <color theme="1"/>
        <rFont val="Arial"/>
        <family val="2"/>
      </rPr>
      <t xml:space="preserve"> Gladioli, narcissi, tulips, sunflowers, ornamental pumkins  </t>
    </r>
  </si>
  <si>
    <r>
      <rPr>
        <vertAlign val="superscript"/>
        <sz val="7"/>
        <color theme="1"/>
        <rFont val="Arial"/>
        <family val="2"/>
      </rPr>
      <t>4</t>
    </r>
    <r>
      <rPr>
        <sz val="7"/>
        <color theme="1"/>
        <rFont val="Arial"/>
        <family val="2"/>
      </rPr>
      <t xml:space="preserve">  Freesia, cut foliage, hippeastrum, orchids</t>
    </r>
  </si>
  <si>
    <t xml:space="preserve">Pot plants (indoor) </t>
  </si>
  <si>
    <t>Beet- und Balkonpflanzen</t>
  </si>
  <si>
    <t>Finished plants</t>
  </si>
  <si>
    <t>Calluna vulgaris</t>
  </si>
  <si>
    <t>Besenheide</t>
  </si>
  <si>
    <t>Young plants</t>
  </si>
  <si>
    <t>Erica gracilis</t>
  </si>
  <si>
    <t>Glockenheide</t>
  </si>
  <si>
    <t xml:space="preserve">Bedding plants, perennials plants </t>
  </si>
  <si>
    <t>Aufstellflächen Topfpflanzen</t>
  </si>
  <si>
    <t>Perennials, water plants</t>
  </si>
  <si>
    <t>Stauden, Gräser, Wasserpflanzen</t>
  </si>
  <si>
    <t>Flowering pot plants</t>
  </si>
  <si>
    <t>Blühende Topfpflanzen</t>
  </si>
  <si>
    <t>Foliage plants</t>
  </si>
  <si>
    <t>Grün- und Blattpflanzen</t>
  </si>
  <si>
    <t>Cactus</t>
  </si>
  <si>
    <t>Kakteen</t>
  </si>
  <si>
    <r>
      <rPr>
        <vertAlign val="superscript"/>
        <sz val="7"/>
        <color theme="1"/>
        <rFont val="Arial"/>
        <family val="2"/>
      </rPr>
      <t xml:space="preserve">1 </t>
    </r>
    <r>
      <rPr>
        <sz val="7"/>
        <color theme="1"/>
        <rFont val="Arial"/>
        <family val="2"/>
      </rPr>
      <t xml:space="preserve">Area without multiple cropping, exclusive propagation area, Data before 2008 incl. multiple cropping during the census year. Comparability of data between different years is limited. </t>
    </r>
  </si>
  <si>
    <r>
      <rPr>
        <vertAlign val="superscript"/>
        <sz val="7"/>
        <color theme="1"/>
        <rFont val="Arial"/>
        <family val="2"/>
      </rPr>
      <t> 2</t>
    </r>
    <r>
      <rPr>
        <sz val="7"/>
        <color theme="1"/>
        <rFont val="Arial"/>
        <family val="2"/>
      </rPr>
      <t xml:space="preserve"> including perennials and water plants</t>
    </r>
  </si>
  <si>
    <r>
      <t xml:space="preserve">Ornamentals shrubs and trees </t>
    </r>
    <r>
      <rPr>
        <b/>
        <vertAlign val="superscript"/>
        <sz val="8"/>
        <color theme="1"/>
        <rFont val="Arial"/>
        <family val="2"/>
      </rPr>
      <t>1</t>
    </r>
  </si>
  <si>
    <t xml:space="preserve">Ziersträucher und Bäume </t>
  </si>
  <si>
    <t xml:space="preserve">   Alley trees, park trees, solitaires</t>
  </si>
  <si>
    <t>Allee-, Parkbäume, Solitärs</t>
  </si>
  <si>
    <t xml:space="preserve">  Conifers </t>
  </si>
  <si>
    <t>Nadelgehölze/Koniferen</t>
  </si>
  <si>
    <t xml:space="preserve">   Rhododendron and the like</t>
  </si>
  <si>
    <t>Rhododendren, Moorbeetpflanzen</t>
  </si>
  <si>
    <t xml:space="preserve">  Topiaries </t>
  </si>
  <si>
    <t xml:space="preserve">Formgehölze </t>
  </si>
  <si>
    <t xml:space="preserve">   Ground covering plants</t>
  </si>
  <si>
    <t>Bodendecker</t>
  </si>
  <si>
    <t xml:space="preserve">Hedge plants </t>
  </si>
  <si>
    <t xml:space="preserve">Heckenpflanzen </t>
  </si>
  <si>
    <t xml:space="preserve">    Conifers</t>
  </si>
  <si>
    <t>Nadelgehölze</t>
  </si>
  <si>
    <t xml:space="preserve">    Deciduous trees </t>
  </si>
  <si>
    <t>Laubgehölze</t>
  </si>
  <si>
    <t>Rose stock</t>
  </si>
  <si>
    <t xml:space="preserve">Rosenunterlagen </t>
  </si>
  <si>
    <t xml:space="preserve">Roses, grafted </t>
  </si>
  <si>
    <t xml:space="preserve">Rosenveredlungen </t>
  </si>
  <si>
    <t>Forstpflanzen</t>
  </si>
  <si>
    <t xml:space="preserve">    Deciduous trees</t>
  </si>
  <si>
    <t>Conifers for production of christmas trees</t>
  </si>
  <si>
    <t>Nadelgehölze zur Anzucht von Weihnachtsbäumen</t>
  </si>
  <si>
    <t>Fruit bushes and trees</t>
  </si>
  <si>
    <t>Obstgehölze</t>
  </si>
  <si>
    <t xml:space="preserve">Other area </t>
  </si>
  <si>
    <t xml:space="preserve">Sonstige Baumschulflächen </t>
  </si>
  <si>
    <t>Nursery area, total</t>
  </si>
  <si>
    <t>Baumschulfläche insgesamt</t>
  </si>
  <si>
    <r>
      <rPr>
        <vertAlign val="superscript"/>
        <sz val="7"/>
        <color theme="1"/>
        <rFont val="Arial"/>
        <family val="2"/>
      </rPr>
      <t xml:space="preserve">1 </t>
    </r>
    <r>
      <rPr>
        <sz val="7"/>
        <color theme="1"/>
        <rFont val="Arial"/>
        <family val="2"/>
      </rPr>
      <t xml:space="preserve">In 2017 hedge plants are not included anymore. </t>
    </r>
  </si>
  <si>
    <t xml:space="preserve">Mode of production </t>
  </si>
  <si>
    <t xml:space="preserve">Freiland </t>
  </si>
  <si>
    <t>Container area</t>
  </si>
  <si>
    <t xml:space="preserve">Containerfläche, Schutzabdeckungen </t>
  </si>
  <si>
    <t xml:space="preserve">Area under protection </t>
  </si>
  <si>
    <t>Flächen unter Glas/Folie</t>
  </si>
  <si>
    <t xml:space="preserve">Production of bedding plants, flowering pot plants and foliage plants </t>
  </si>
  <si>
    <r>
      <t xml:space="preserve">In million pieces </t>
    </r>
    <r>
      <rPr>
        <b/>
        <vertAlign val="superscript"/>
        <sz val="10"/>
        <color theme="1"/>
        <rFont val="Arial"/>
        <family val="2"/>
      </rPr>
      <t>3</t>
    </r>
  </si>
  <si>
    <r>
      <t>2017</t>
    </r>
    <r>
      <rPr>
        <b/>
        <vertAlign val="superscript"/>
        <sz val="8"/>
        <color theme="1"/>
        <rFont val="Arial"/>
        <family val="2"/>
      </rPr>
      <t xml:space="preserve"> 3</t>
    </r>
  </si>
  <si>
    <r>
      <t xml:space="preserve">2012 </t>
    </r>
    <r>
      <rPr>
        <b/>
        <vertAlign val="superscript"/>
        <sz val="8"/>
        <color theme="1"/>
        <rFont val="Arial"/>
        <family val="2"/>
      </rPr>
      <t>3</t>
    </r>
  </si>
  <si>
    <r>
      <t xml:space="preserve">2008 </t>
    </r>
    <r>
      <rPr>
        <b/>
        <vertAlign val="superscript"/>
        <sz val="8"/>
        <color theme="1"/>
        <rFont val="Arial"/>
        <family val="2"/>
      </rPr>
      <t>3</t>
    </r>
  </si>
  <si>
    <t xml:space="preserve">Beet- und Balkonpflanzen, Stauden </t>
  </si>
  <si>
    <t xml:space="preserve">Viola </t>
  </si>
  <si>
    <t>Viola x wittrockiana</t>
  </si>
  <si>
    <t>Calluna</t>
  </si>
  <si>
    <t xml:space="preserve">Begonia </t>
  </si>
  <si>
    <t>Pelargonien</t>
  </si>
  <si>
    <t>Petunien</t>
  </si>
  <si>
    <t>Impatiens Neu G. + wall.</t>
  </si>
  <si>
    <r>
      <t>Erica gracilis</t>
    </r>
    <r>
      <rPr>
        <vertAlign val="superscript"/>
        <sz val="8"/>
        <color theme="1"/>
        <rFont val="Arial"/>
        <family val="2"/>
      </rPr>
      <t xml:space="preserve"> 4</t>
    </r>
  </si>
  <si>
    <t>Agyranthemum frutescens</t>
  </si>
  <si>
    <t>Erica x darleyensis, carnea</t>
  </si>
  <si>
    <r>
      <t>Perennials</t>
    </r>
    <r>
      <rPr>
        <vertAlign val="superscript"/>
        <sz val="8"/>
        <color theme="1"/>
        <rFont val="Arial"/>
        <family val="2"/>
      </rPr>
      <t xml:space="preserve"> 5</t>
    </r>
  </si>
  <si>
    <t>Stauden (Freiland)</t>
  </si>
  <si>
    <r>
      <t xml:space="preserve">Other bedding plants </t>
    </r>
    <r>
      <rPr>
        <vertAlign val="superscript"/>
        <sz val="8"/>
        <color theme="1"/>
        <rFont val="Arial"/>
        <family val="2"/>
      </rPr>
      <t>6</t>
    </r>
  </si>
  <si>
    <t xml:space="preserve">Sonstige Beet- und Balkonpflanzen (Fuchsisa, Lobelia, Combi-Pots etc.) </t>
  </si>
  <si>
    <t>Topfchrysanthemen</t>
  </si>
  <si>
    <t>Poinsettien (Weihnachtsstern)</t>
  </si>
  <si>
    <t>Zwiebelblumen</t>
  </si>
  <si>
    <t>Lorr.- u. Elatior-Begonien</t>
  </si>
  <si>
    <t>Azaleen</t>
  </si>
  <si>
    <t>Hydrangeas</t>
  </si>
  <si>
    <t>Hortensien</t>
  </si>
  <si>
    <t>Orchideen</t>
  </si>
  <si>
    <r>
      <t>Other flowering pot plants</t>
    </r>
    <r>
      <rPr>
        <vertAlign val="superscript"/>
        <sz val="8"/>
        <color theme="1"/>
        <rFont val="Arial"/>
        <family val="2"/>
      </rPr>
      <t xml:space="preserve"> 7</t>
    </r>
  </si>
  <si>
    <t>Sonstige blühende Topfpflanzen</t>
  </si>
  <si>
    <t>Foliage plants and cacti</t>
  </si>
  <si>
    <t>Grünpflanzen und Kakteen</t>
  </si>
  <si>
    <r>
      <rPr>
        <vertAlign val="superscript"/>
        <sz val="7"/>
        <color rgb="FF000000"/>
        <rFont val="Arial"/>
        <family val="2"/>
      </rPr>
      <t xml:space="preserve">5  </t>
    </r>
    <r>
      <rPr>
        <sz val="7"/>
        <color rgb="FF000000"/>
        <rFont val="Arial"/>
        <family val="2"/>
      </rPr>
      <t xml:space="preserve">Flowering perennials, young perennials, hardy perennials </t>
    </r>
  </si>
  <si>
    <r>
      <rPr>
        <vertAlign val="superscript"/>
        <sz val="7"/>
        <color rgb="FF000000"/>
        <rFont val="Arial"/>
        <family val="2"/>
      </rPr>
      <t>6</t>
    </r>
    <r>
      <rPr>
        <sz val="7"/>
        <color rgb="FF000000"/>
        <rFont val="Arial"/>
        <family val="2"/>
      </rPr>
      <t xml:space="preserve"> Fuchsia, Lobelia, Combi-Pots etc.</t>
    </r>
  </si>
  <si>
    <r>
      <rPr>
        <vertAlign val="superscript"/>
        <sz val="7"/>
        <color rgb="FF000000"/>
        <rFont val="Arial"/>
        <family val="2"/>
      </rPr>
      <t>7</t>
    </r>
    <r>
      <rPr>
        <sz val="7"/>
        <color rgb="FF000000"/>
        <rFont val="Arial"/>
        <family val="2"/>
      </rPr>
      <t xml:space="preserve">  Saintpaulia, Roses, etc.</t>
    </r>
  </si>
  <si>
    <t>Germany - External trade ornamental horticultural products</t>
  </si>
  <si>
    <t>Czech Rep.</t>
  </si>
  <si>
    <t>Imports by Germany</t>
  </si>
  <si>
    <t>Exports by Germany</t>
  </si>
  <si>
    <t>Market value of flowers and ornamental plants</t>
  </si>
  <si>
    <t xml:space="preserve">Per capita expenditures on flowers and ornamental plants </t>
  </si>
  <si>
    <t>Retail prices in billion EUR</t>
  </si>
  <si>
    <t xml:space="preserve">Retail prices in EUR </t>
  </si>
  <si>
    <t>billion EUR</t>
  </si>
  <si>
    <t>%</t>
  </si>
  <si>
    <t xml:space="preserve">Indoor plants </t>
  </si>
  <si>
    <t>Bedding plants/garden plants</t>
  </si>
  <si>
    <t xml:space="preserve">   Flowering plants</t>
  </si>
  <si>
    <t>Herbs</t>
  </si>
  <si>
    <t xml:space="preserve">   Green plants</t>
  </si>
  <si>
    <t>Garden plants</t>
  </si>
  <si>
    <t>Shrubs and bushes</t>
  </si>
  <si>
    <t xml:space="preserve">   Bedding plants </t>
  </si>
  <si>
    <t xml:space="preserve">   Perennials </t>
  </si>
  <si>
    <t xml:space="preserve">   Herbs in pots</t>
  </si>
  <si>
    <t xml:space="preserve">   Trees and shrubs</t>
  </si>
  <si>
    <t xml:space="preserve">   Bulbs</t>
  </si>
  <si>
    <t xml:space="preserve">     Flowering indoor plants</t>
  </si>
  <si>
    <t xml:space="preserve">     Green indoor plants</t>
  </si>
  <si>
    <t xml:space="preserve">INDIA </t>
  </si>
  <si>
    <t>Flowers</t>
  </si>
  <si>
    <t xml:space="preserve">Area in 1 000 hectares, amount in 1 000 mt </t>
  </si>
  <si>
    <t xml:space="preserve">2017/18 </t>
  </si>
  <si>
    <t xml:space="preserve">2016/17 </t>
  </si>
  <si>
    <t xml:space="preserve">Area (in 1 000 hectares) </t>
  </si>
  <si>
    <t>Cut flowers (in million flowers or 1 000 mt)</t>
  </si>
  <si>
    <t>543**</t>
  </si>
  <si>
    <t>Loose flowers (in 1 000 mt)</t>
  </si>
  <si>
    <r>
      <rPr>
        <vertAlign val="superscript"/>
        <sz val="7"/>
        <color theme="1"/>
        <rFont val="Arial"/>
        <family val="2"/>
      </rPr>
      <t xml:space="preserve">2 </t>
    </r>
    <r>
      <rPr>
        <sz val="7"/>
        <color theme="1"/>
        <rFont val="Arial"/>
        <family val="2"/>
      </rPr>
      <t xml:space="preserve"> Please note: from 2013/14 new unit: in 1 000 metric tons (mt)</t>
    </r>
  </si>
  <si>
    <t xml:space="preserve">Flowers </t>
  </si>
  <si>
    <t xml:space="preserve"> Area in 1 000 hectares</t>
  </si>
  <si>
    <t>Kerala</t>
  </si>
  <si>
    <t>Tamil Nadu</t>
  </si>
  <si>
    <t>Madhya Pradesh</t>
  </si>
  <si>
    <t>West Bengal</t>
  </si>
  <si>
    <t>Andhra Pradesh</t>
  </si>
  <si>
    <t>Karnataka</t>
  </si>
  <si>
    <t>Uttar Pradesh</t>
  </si>
  <si>
    <t>Gujarat</t>
  </si>
  <si>
    <t>Maharashtra</t>
  </si>
  <si>
    <t>Odisha</t>
  </si>
  <si>
    <t>Haryana</t>
  </si>
  <si>
    <t>Rajasthan</t>
  </si>
  <si>
    <t>Jammu and Kaschmir</t>
  </si>
  <si>
    <t xml:space="preserve">Area and amount of production </t>
  </si>
  <si>
    <t>Production</t>
  </si>
  <si>
    <t>(In 1 000 hectares)</t>
  </si>
  <si>
    <t>Loose flowers (In 1 000 t)</t>
  </si>
  <si>
    <t>Cut flowers (In million flowers/ in 1 000 t)</t>
  </si>
  <si>
    <t xml:space="preserve">2015/16 </t>
  </si>
  <si>
    <t>Gladious</t>
  </si>
  <si>
    <t>Rose</t>
  </si>
  <si>
    <t>Tube rose</t>
  </si>
  <si>
    <r>
      <t xml:space="preserve">Cut flowers </t>
    </r>
    <r>
      <rPr>
        <b/>
        <vertAlign val="superscript"/>
        <sz val="10"/>
        <color theme="1"/>
        <rFont val="Arial"/>
        <family val="2"/>
      </rPr>
      <t>1</t>
    </r>
  </si>
  <si>
    <t xml:space="preserve">in 1 000 ha </t>
  </si>
  <si>
    <t xml:space="preserve">INDIA - External trade ornamental horticultural products </t>
  </si>
  <si>
    <t xml:space="preserve">Cut flowers, foliage and plants, value in 1 000 EUR </t>
  </si>
  <si>
    <t>Bulbs, tubers, corms, etc, (HS-Code 0601)</t>
  </si>
  <si>
    <t xml:space="preserve">Partner countries </t>
  </si>
  <si>
    <t>Singapore</t>
  </si>
  <si>
    <t>New Zealand</t>
  </si>
  <si>
    <t>Nepal</t>
  </si>
  <si>
    <t>Source: Deputy of Horticulture- Agriculture Ministry of Iran, 2021</t>
  </si>
  <si>
    <t>Number of producers</t>
  </si>
  <si>
    <t>ITALY</t>
  </si>
  <si>
    <t>Value in current prices (In million EUR)</t>
  </si>
  <si>
    <t xml:space="preserve">Year </t>
  </si>
  <si>
    <t>Under low (not accessible) protective cover</t>
  </si>
  <si>
    <t>Floricultural and ornamental seedlings</t>
  </si>
  <si>
    <t>Plants in nurseries</t>
  </si>
  <si>
    <t xml:space="preserve">Fruit trees </t>
  </si>
  <si>
    <t xml:space="preserve">Production of ornamental crops in 2007 </t>
  </si>
  <si>
    <t>In green-houses</t>
  </si>
  <si>
    <t>Under other covering</t>
  </si>
  <si>
    <t>Cut flowers, foliage and branches</t>
  </si>
  <si>
    <t>Cut foliage and branches</t>
  </si>
  <si>
    <t>Ground covering plants</t>
  </si>
  <si>
    <t>Shrubs and trees</t>
  </si>
  <si>
    <t>Olive trees</t>
  </si>
  <si>
    <t>Young plants, cuttings and seedlings</t>
  </si>
  <si>
    <t>Ornamental flowers and plants</t>
  </si>
  <si>
    <t>Vine</t>
  </si>
  <si>
    <t>Vegetables</t>
  </si>
  <si>
    <t>Source: Indagine Florovivaismo 2007, Ministero delle politiche agricole alimentari e forestali</t>
  </si>
  <si>
    <t xml:space="preserve">ornamental plants </t>
  </si>
  <si>
    <t xml:space="preserve">  Toscana</t>
  </si>
  <si>
    <t xml:space="preserve">  Lombardia</t>
  </si>
  <si>
    <t xml:space="preserve">  Veneto</t>
  </si>
  <si>
    <t xml:space="preserve">  Other regions </t>
  </si>
  <si>
    <t xml:space="preserve">Total: 15 890 ha </t>
  </si>
  <si>
    <t>Ornamental nursery</t>
  </si>
  <si>
    <t xml:space="preserve">  Lombardia </t>
  </si>
  <si>
    <t xml:space="preserve">  Veneto </t>
  </si>
  <si>
    <t xml:space="preserve">  Emilia-Romagna</t>
  </si>
  <si>
    <t xml:space="preserve">  Piemonte</t>
  </si>
  <si>
    <t xml:space="preserve">  Other regions</t>
  </si>
  <si>
    <t xml:space="preserve">Total: 3 596 ha </t>
  </si>
  <si>
    <t xml:space="preserve">  Trentino - Alto Adige</t>
  </si>
  <si>
    <t xml:space="preserve">  Apulia </t>
  </si>
  <si>
    <t>Italy - External trade ornamental horticultural products</t>
  </si>
  <si>
    <t>Greece</t>
  </si>
  <si>
    <t>Imports by Italy</t>
  </si>
  <si>
    <t>Exports by Italy</t>
  </si>
  <si>
    <t>NETHERLANDS</t>
  </si>
  <si>
    <t>millions</t>
  </si>
  <si>
    <t xml:space="preserve">Flowers and plants  </t>
  </si>
  <si>
    <r>
      <t xml:space="preserve">Ornamental plants and flowers </t>
    </r>
    <r>
      <rPr>
        <b/>
        <vertAlign val="superscript"/>
        <sz val="10"/>
        <color theme="1"/>
        <rFont val="Arial"/>
        <family val="2"/>
      </rPr>
      <t>1</t>
    </r>
  </si>
  <si>
    <t>Area in hectares, under protection and in the open</t>
  </si>
  <si>
    <r>
      <t xml:space="preserve">2021 </t>
    </r>
    <r>
      <rPr>
        <b/>
        <vertAlign val="superscript"/>
        <sz val="8"/>
        <color theme="1"/>
        <rFont val="Arial"/>
        <family val="2"/>
      </rPr>
      <t>1</t>
    </r>
  </si>
  <si>
    <t>under protection, total</t>
  </si>
  <si>
    <t>Cut flowers, total</t>
  </si>
  <si>
    <t>Hippeastrum</t>
  </si>
  <si>
    <t>Paeonia</t>
  </si>
  <si>
    <t>Pot plants, total</t>
  </si>
  <si>
    <t>Amaryllis bulbs</t>
  </si>
  <si>
    <r>
      <t>in the open</t>
    </r>
    <r>
      <rPr>
        <b/>
        <vertAlign val="superscript"/>
        <sz val="8"/>
        <color theme="1"/>
        <rFont val="Arial"/>
        <family val="2"/>
      </rPr>
      <t xml:space="preserve"> </t>
    </r>
    <r>
      <rPr>
        <b/>
        <sz val="8"/>
        <color theme="1"/>
        <rFont val="Arial"/>
        <family val="2"/>
      </rPr>
      <t>, total</t>
    </r>
  </si>
  <si>
    <t>Chysanthemums</t>
  </si>
  <si>
    <t>Dahlias</t>
  </si>
  <si>
    <t>Other flowers and pot plants</t>
  </si>
  <si>
    <r>
      <rPr>
        <vertAlign val="superscript"/>
        <sz val="7"/>
        <color rgb="FF000000"/>
        <rFont val="Arial"/>
        <family val="2"/>
      </rPr>
      <t xml:space="preserve">1  </t>
    </r>
    <r>
      <rPr>
        <sz val="7"/>
        <color rgb="FF000000"/>
        <rFont val="Arial"/>
        <family val="2"/>
      </rPr>
      <t xml:space="preserve">Provisional data </t>
    </r>
    <r>
      <rPr>
        <vertAlign val="superscript"/>
        <sz val="7"/>
        <color rgb="FF000000"/>
        <rFont val="Arial"/>
        <family val="2"/>
      </rPr>
      <t>2</t>
    </r>
    <r>
      <rPr>
        <sz val="7"/>
        <color rgb="FF000000"/>
        <rFont val="Arial"/>
        <family val="2"/>
      </rPr>
      <t xml:space="preserve"> Data revised</t>
    </r>
  </si>
  <si>
    <t>Flower bulbs and tubers</t>
  </si>
  <si>
    <t>Spring flowering bulbs</t>
  </si>
  <si>
    <t>Narcissi</t>
  </si>
  <si>
    <t>Crocuses</t>
  </si>
  <si>
    <t>Muscari</t>
  </si>
  <si>
    <t>Allium</t>
  </si>
  <si>
    <t>Scilla</t>
  </si>
  <si>
    <t>Anemone blanda</t>
  </si>
  <si>
    <t>Chionodoxa</t>
  </si>
  <si>
    <t>Hyacinthoides</t>
  </si>
  <si>
    <t>Nectaroscordum</t>
  </si>
  <si>
    <t>Puschkinia</t>
  </si>
  <si>
    <t>Summer flowering bulbs</t>
  </si>
  <si>
    <t>Bulb flowers, total</t>
  </si>
  <si>
    <t>Nursery stock and hardy perennial plants</t>
  </si>
  <si>
    <t>Forest plants, hedges</t>
  </si>
  <si>
    <t>Ornamental conifers</t>
  </si>
  <si>
    <t>Climbing plants, shrubs</t>
  </si>
  <si>
    <t>Buxus</t>
  </si>
  <si>
    <t>Hardy perennial plants</t>
  </si>
  <si>
    <t>Nursery stock and hardy perennials , total</t>
  </si>
  <si>
    <t>Cut flowers, pot plants and bedding plants</t>
  </si>
  <si>
    <t>Green pot plants</t>
  </si>
  <si>
    <t xml:space="preserve">Other flowers and ornamental plants </t>
  </si>
  <si>
    <t>Young plants and seeds</t>
  </si>
  <si>
    <t>Nursery stock and perennial plants</t>
  </si>
  <si>
    <t xml:space="preserve">Nursery stock and perennial plants, total </t>
  </si>
  <si>
    <t>Seeds and young plants</t>
  </si>
  <si>
    <t xml:space="preserve">Complete production under protection </t>
  </si>
  <si>
    <t>Perennial plants</t>
  </si>
  <si>
    <t>Netherlands - External trade ornamental horticultural products</t>
  </si>
  <si>
    <t>Imports by Netherlands</t>
  </si>
  <si>
    <t>Exports by Netherlands</t>
  </si>
  <si>
    <t>JAPAN</t>
  </si>
  <si>
    <r>
      <t xml:space="preserve">Gross national income </t>
    </r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>:</t>
    </r>
  </si>
  <si>
    <t xml:space="preserve">Gross agricultural output </t>
  </si>
  <si>
    <t>In billion Yen</t>
  </si>
  <si>
    <t xml:space="preserve">Gross agricutural output, total </t>
  </si>
  <si>
    <t xml:space="preserve">Expenditures on cut flowers per capita </t>
  </si>
  <si>
    <t>In EUR/Yen</t>
  </si>
  <si>
    <t>In EUR</t>
  </si>
  <si>
    <t xml:space="preserve">In Yen </t>
  </si>
  <si>
    <t>Expenditures on garden plants per capita</t>
  </si>
  <si>
    <t>Ring chrysanthemums</t>
  </si>
  <si>
    <t>Spray chrysanthemums</t>
  </si>
  <si>
    <t>Small chrysanthemums</t>
  </si>
  <si>
    <t xml:space="preserve">Gentiana </t>
  </si>
  <si>
    <t xml:space="preserve">Limonium </t>
  </si>
  <si>
    <t>Tropical orchids</t>
  </si>
  <si>
    <t xml:space="preserve">Cut tree branches </t>
  </si>
  <si>
    <t>Potted flowering plants</t>
  </si>
  <si>
    <t>Bulbous plants</t>
  </si>
  <si>
    <t>Seedlings for flower bed</t>
  </si>
  <si>
    <r>
      <t xml:space="preserve">Flowers in glass- or vinyl houses </t>
    </r>
    <r>
      <rPr>
        <b/>
        <vertAlign val="superscript"/>
        <sz val="8"/>
        <color theme="1"/>
        <rFont val="Arial"/>
        <family val="2"/>
      </rPr>
      <t>1</t>
    </r>
  </si>
  <si>
    <t>Flowers in tunnels</t>
  </si>
  <si>
    <t>Ornamental trees and shrubs</t>
  </si>
  <si>
    <t>Planted area in hectares</t>
  </si>
  <si>
    <t>Satsuki azalea</t>
  </si>
  <si>
    <t>Camelia</t>
  </si>
  <si>
    <t>Hiba aborvitae</t>
  </si>
  <si>
    <t>Ground cover plants</t>
  </si>
  <si>
    <t xml:space="preserve">Ornamental trees and shrubs, total </t>
  </si>
  <si>
    <t xml:space="preserve">10 Ornamental trees and shrubs </t>
  </si>
  <si>
    <t>Number of farm households</t>
  </si>
  <si>
    <t xml:space="preserve">Flowering plants, trees and shrubs </t>
  </si>
  <si>
    <t>Area in ha, number of management entities</t>
  </si>
  <si>
    <r>
      <t xml:space="preserve">Total area </t>
    </r>
    <r>
      <rPr>
        <vertAlign val="superscript"/>
        <sz val="8"/>
        <color theme="1"/>
        <rFont val="Arial"/>
        <family val="2"/>
      </rPr>
      <t>1</t>
    </r>
  </si>
  <si>
    <r>
      <t xml:space="preserve">Management entities </t>
    </r>
    <r>
      <rPr>
        <vertAlign val="superscript"/>
        <sz val="8"/>
        <color theme="1"/>
        <rFont val="Arial"/>
        <family val="2"/>
      </rPr>
      <t>2</t>
    </r>
  </si>
  <si>
    <r>
      <rPr>
        <vertAlign val="superscript"/>
        <sz val="7"/>
        <color theme="1"/>
        <rFont val="Arial"/>
        <family val="2"/>
      </rPr>
      <t xml:space="preserve">1 </t>
    </r>
    <r>
      <rPr>
        <sz val="7"/>
        <color theme="1"/>
        <rFont val="Arial"/>
        <family val="2"/>
      </rPr>
      <t>Cultivation land area classified by commercial farming</t>
    </r>
  </si>
  <si>
    <r>
      <rPr>
        <vertAlign val="superscript"/>
        <sz val="7"/>
        <color theme="1"/>
        <rFont val="Arial"/>
        <family val="2"/>
      </rPr>
      <t xml:space="preserve">2 </t>
    </r>
    <r>
      <rPr>
        <sz val="7"/>
        <color theme="1"/>
        <rFont val="Arial"/>
        <family val="2"/>
      </rPr>
      <t>Number of management  entities by type of commercial faming</t>
    </r>
  </si>
  <si>
    <t>Cut Flowers</t>
  </si>
  <si>
    <t xml:space="preserve">Shipment quantity in 1 000 pieces </t>
  </si>
  <si>
    <t>Hiba arborvitae</t>
  </si>
  <si>
    <t xml:space="preserve">Output of flowers and plants (2015) </t>
  </si>
  <si>
    <t xml:space="preserve">Cut branches </t>
  </si>
  <si>
    <t xml:space="preserve">Cyclamen </t>
  </si>
  <si>
    <t xml:space="preserve">flowering trees and shrubs (pot grown) </t>
  </si>
  <si>
    <t xml:space="preserve">Foiliage plants (pot grown) </t>
  </si>
  <si>
    <t xml:space="preserve">Other potted plants </t>
  </si>
  <si>
    <t>Seedlings for flowers beds</t>
  </si>
  <si>
    <t xml:space="preserve">Flowering trees and shrubs </t>
  </si>
  <si>
    <t>Lawn grass</t>
  </si>
  <si>
    <t>Source: Current Status of Flowers and Plants in Japan, Ministry of Agriculture, Forestry and Fisheries</t>
  </si>
  <si>
    <t>Potted plants (all)</t>
  </si>
  <si>
    <t xml:space="preserve">Cut flowers, value  in 1 000 EUR </t>
  </si>
  <si>
    <t>Uganda</t>
  </si>
  <si>
    <t xml:space="preserve">Live plants, value in 1 000 EUR </t>
  </si>
  <si>
    <t>Indonesia</t>
  </si>
  <si>
    <t>Sri Lanka</t>
  </si>
  <si>
    <t xml:space="preserve">Cut foliage, in 1 000 EUR </t>
  </si>
  <si>
    <t>Guatemala</t>
  </si>
  <si>
    <t>Export</t>
  </si>
  <si>
    <t>Live plants, cuttings &amp; slips (HS-Code 0602)</t>
  </si>
  <si>
    <t>Foliage, branches etc.   (HS-Code 0604)</t>
  </si>
  <si>
    <t>Live plants, value in 1 000 EUR</t>
  </si>
  <si>
    <t>Exports</t>
  </si>
  <si>
    <t>KENYA</t>
  </si>
  <si>
    <t>n.s</t>
  </si>
  <si>
    <t>Arabicum</t>
  </si>
  <si>
    <t>Easter lilies</t>
  </si>
  <si>
    <t>Asclepias fruticosa</t>
  </si>
  <si>
    <t>Eryngium</t>
  </si>
  <si>
    <t>Other cutflowers</t>
  </si>
  <si>
    <t xml:space="preserve">Source: Horticultural Crops Development Authority (HCDA) </t>
  </si>
  <si>
    <t>Distribution of production area in 2012</t>
  </si>
  <si>
    <t xml:space="preserve">Production of cut flowers in selected counties </t>
  </si>
  <si>
    <t xml:space="preserve">Total: 2 496 ha </t>
  </si>
  <si>
    <t>Nakuru</t>
  </si>
  <si>
    <t>Kiambu</t>
  </si>
  <si>
    <t>Kajiado</t>
  </si>
  <si>
    <t>Machakos</t>
  </si>
  <si>
    <t>Nairobi</t>
  </si>
  <si>
    <t xml:space="preserve">KENYA - External trade ornamental horticultural products </t>
  </si>
  <si>
    <t>Foliage, branches etc. (HS-Code 0604)</t>
  </si>
  <si>
    <t>Bulbs, tubers, corms, etc.(HS-Code 0601)</t>
  </si>
  <si>
    <t>Cut flowers, value in 1 000 EUR</t>
  </si>
  <si>
    <t>Saudi Arabia</t>
  </si>
  <si>
    <t>Oman</t>
  </si>
  <si>
    <t>Cut flowers and plants, volume in t, value in 1 000 EUR</t>
  </si>
  <si>
    <t>Volume (in metric tonnes)</t>
  </si>
  <si>
    <t xml:space="preserve">Value (in billion KES) </t>
  </si>
  <si>
    <t xml:space="preserve">Value in 1 000 EUR </t>
  </si>
  <si>
    <t>Source: Kenya Flower Council</t>
  </si>
  <si>
    <t xml:space="preserve">POLAND </t>
  </si>
  <si>
    <t>312 700</t>
  </si>
  <si>
    <r>
      <t xml:space="preserve">Production value </t>
    </r>
    <r>
      <rPr>
        <sz val="12"/>
        <color theme="1"/>
        <rFont val="Arial"/>
        <family val="2"/>
      </rPr>
      <t xml:space="preserve"> </t>
    </r>
  </si>
  <si>
    <t xml:space="preserve"> Flower production under covers</t>
  </si>
  <si>
    <t>Source: A. Marosz, Institute of Horticulture, Skierniewice</t>
  </si>
  <si>
    <t xml:space="preserve">Flowers and nursery stock </t>
  </si>
  <si>
    <t>Area in hectares, in the open and under protection</t>
  </si>
  <si>
    <r>
      <t>2017</t>
    </r>
    <r>
      <rPr>
        <b/>
        <vertAlign val="superscript"/>
        <sz val="8"/>
        <color theme="1"/>
        <rFont val="Arial"/>
        <family val="2"/>
      </rPr>
      <t xml:space="preserve"> 1</t>
    </r>
  </si>
  <si>
    <r>
      <t xml:space="preserve">2016 </t>
    </r>
    <r>
      <rPr>
        <b/>
        <vertAlign val="superscript"/>
        <sz val="8"/>
        <color theme="1"/>
        <rFont val="Arial"/>
        <family val="2"/>
      </rPr>
      <t>2</t>
    </r>
  </si>
  <si>
    <r>
      <t xml:space="preserve">2015 </t>
    </r>
    <r>
      <rPr>
        <b/>
        <vertAlign val="superscript"/>
        <sz val="8"/>
        <color theme="1"/>
        <rFont val="Arial"/>
        <family val="2"/>
      </rPr>
      <t>2</t>
    </r>
  </si>
  <si>
    <r>
      <t xml:space="preserve">2014 </t>
    </r>
    <r>
      <rPr>
        <b/>
        <vertAlign val="superscript"/>
        <sz val="8"/>
        <color theme="1"/>
        <rFont val="Arial"/>
        <family val="2"/>
      </rPr>
      <t>2</t>
    </r>
  </si>
  <si>
    <r>
      <t>2010</t>
    </r>
    <r>
      <rPr>
        <b/>
        <vertAlign val="superscript"/>
        <sz val="8"/>
        <color theme="1"/>
        <rFont val="Arial"/>
        <family val="2"/>
      </rPr>
      <t xml:space="preserve"> 3</t>
    </r>
  </si>
  <si>
    <t>Area of flower production under protection</t>
  </si>
  <si>
    <t xml:space="preserve">Sources: </t>
  </si>
  <si>
    <r>
      <rPr>
        <vertAlign val="superscript"/>
        <sz val="7"/>
        <color theme="1"/>
        <rFont val="Arial"/>
        <family val="2"/>
      </rPr>
      <t>2</t>
    </r>
    <r>
      <rPr>
        <sz val="7"/>
        <color theme="1"/>
        <rFont val="Arial"/>
        <family val="2"/>
      </rPr>
      <t xml:space="preserve"> Based on research and questionnaires by A. Marosz, Institute of Horticulture, Skierniewice</t>
    </r>
  </si>
  <si>
    <r>
      <rPr>
        <vertAlign val="superscript"/>
        <sz val="7"/>
        <color rgb="FF000000"/>
        <rFont val="Arial"/>
        <family val="2"/>
      </rPr>
      <t>3</t>
    </r>
    <r>
      <rPr>
        <sz val="7"/>
        <color rgb="FF000000"/>
        <rFont val="Arial"/>
        <family val="2"/>
      </rPr>
      <t xml:space="preserve"> Agricultural Census 2010, Central Statistical Office,Poland </t>
    </r>
  </si>
  <si>
    <r>
      <t>2018</t>
    </r>
    <r>
      <rPr>
        <b/>
        <vertAlign val="superscript"/>
        <sz val="8"/>
        <color theme="1"/>
        <rFont val="Arial"/>
        <family val="2"/>
      </rPr>
      <t xml:space="preserve"> 1</t>
    </r>
  </si>
  <si>
    <r>
      <t xml:space="preserve">2017 </t>
    </r>
    <r>
      <rPr>
        <b/>
        <vertAlign val="superscript"/>
        <sz val="8"/>
        <color theme="1"/>
        <rFont val="Arial"/>
        <family val="2"/>
      </rPr>
      <t>1</t>
    </r>
  </si>
  <si>
    <r>
      <t>2016</t>
    </r>
    <r>
      <rPr>
        <b/>
        <vertAlign val="superscript"/>
        <sz val="8"/>
        <color theme="1"/>
        <rFont val="Arial"/>
        <family val="2"/>
      </rPr>
      <t xml:space="preserve"> 2</t>
    </r>
  </si>
  <si>
    <t xml:space="preserve">   Roses </t>
  </si>
  <si>
    <t xml:space="preserve">   Conifers</t>
  </si>
  <si>
    <t xml:space="preserve">   Broad leaved shrubs </t>
  </si>
  <si>
    <t xml:space="preserve">   Alley trees</t>
  </si>
  <si>
    <t xml:space="preserve">   Ornamentals in containers</t>
  </si>
  <si>
    <t>Under cover</t>
  </si>
  <si>
    <t xml:space="preserve">   Ornamental nursery stock</t>
  </si>
  <si>
    <t xml:space="preserve">   Mother plants and others</t>
  </si>
  <si>
    <r>
      <rPr>
        <vertAlign val="superscript"/>
        <sz val="7"/>
        <color theme="1"/>
        <rFont val="Arial"/>
        <family val="2"/>
      </rPr>
      <t>2</t>
    </r>
    <r>
      <rPr>
        <sz val="7"/>
        <color theme="1"/>
        <rFont val="Arial"/>
        <family val="2"/>
      </rPr>
      <t xml:space="preserve"> Based on research and questionnaires by A. Marosz, Institute of Horticulture,Skierniewice</t>
    </r>
  </si>
  <si>
    <r>
      <t xml:space="preserve"> </t>
    </r>
    <r>
      <rPr>
        <vertAlign val="superscript"/>
        <sz val="7"/>
        <color theme="1"/>
        <rFont val="Arial"/>
        <family val="2"/>
      </rPr>
      <t>3</t>
    </r>
    <r>
      <rPr>
        <sz val="7"/>
        <color theme="1"/>
        <rFont val="Arial"/>
        <family val="2"/>
      </rPr>
      <t xml:space="preserve"> Agricultural Census 2002 and 2010</t>
    </r>
  </si>
  <si>
    <t>Area under cover in hectares</t>
  </si>
  <si>
    <r>
      <t>2020</t>
    </r>
    <r>
      <rPr>
        <b/>
        <vertAlign val="superscript"/>
        <sz val="8"/>
        <color theme="1"/>
        <rFont val="Arial"/>
        <family val="2"/>
      </rPr>
      <t xml:space="preserve"> 1</t>
    </r>
  </si>
  <si>
    <r>
      <t>2019</t>
    </r>
    <r>
      <rPr>
        <b/>
        <vertAlign val="superscript"/>
        <sz val="8"/>
        <color theme="1"/>
        <rFont val="Arial"/>
        <family val="2"/>
      </rPr>
      <t xml:space="preserve"> 1</t>
    </r>
  </si>
  <si>
    <r>
      <t xml:space="preserve">Pot plants </t>
    </r>
    <r>
      <rPr>
        <vertAlign val="superscript"/>
        <sz val="8"/>
        <color theme="1"/>
        <rFont val="Arial"/>
        <family val="2"/>
      </rPr>
      <t>3</t>
    </r>
  </si>
  <si>
    <t xml:space="preserve">   Chrysanthemums</t>
  </si>
  <si>
    <t xml:space="preserve">   Others</t>
  </si>
  <si>
    <t>Poland - External trade ornamental horticultural products</t>
  </si>
  <si>
    <t>Imports by Poland</t>
  </si>
  <si>
    <t>Exports by Poland</t>
  </si>
  <si>
    <t>SPAIN</t>
  </si>
  <si>
    <t>Gross national income*:</t>
  </si>
  <si>
    <t>*Atlas method</t>
  </si>
  <si>
    <t>Area in hectares, amount in million pieces</t>
  </si>
  <si>
    <t>Area (In hectares)</t>
  </si>
  <si>
    <t xml:space="preserve">  Flores</t>
  </si>
  <si>
    <t>Claveles</t>
  </si>
  <si>
    <t>American type</t>
  </si>
  <si>
    <t>tipo Americano</t>
  </si>
  <si>
    <t>Other carnations</t>
  </si>
  <si>
    <t>otros claveles</t>
  </si>
  <si>
    <t>Rosas</t>
  </si>
  <si>
    <t>Baccara/ Meilland</t>
  </si>
  <si>
    <t>Other roses</t>
  </si>
  <si>
    <t>otras rosas</t>
  </si>
  <si>
    <t>Otras flores</t>
  </si>
  <si>
    <t>Ornamental plants</t>
  </si>
  <si>
    <t>Plantas ornamentales</t>
  </si>
  <si>
    <t>Esquejes</t>
  </si>
  <si>
    <t>Production in million pieces</t>
  </si>
  <si>
    <t>Production (In million pieces)</t>
  </si>
  <si>
    <t>Al aire libre</t>
  </si>
  <si>
    <t>Flores</t>
  </si>
  <si>
    <t>Other flowers</t>
  </si>
  <si>
    <t>Protegido</t>
  </si>
  <si>
    <t xml:space="preserve">Area without irrigation </t>
  </si>
  <si>
    <t xml:space="preserve">secano </t>
  </si>
  <si>
    <t xml:space="preserve">  Andalusia</t>
  </si>
  <si>
    <t xml:space="preserve">  Canary Islands</t>
  </si>
  <si>
    <t xml:space="preserve">  Galicia</t>
  </si>
  <si>
    <t xml:space="preserve">  Murcia</t>
  </si>
  <si>
    <t xml:space="preserve">  Valencia</t>
  </si>
  <si>
    <t xml:space="preserve">  Others regions</t>
  </si>
  <si>
    <t xml:space="preserve">  Catalonia</t>
  </si>
  <si>
    <t>Spain - External trade ornamental horticultural products</t>
  </si>
  <si>
    <t>Morocco</t>
  </si>
  <si>
    <t>Imports by Spain</t>
  </si>
  <si>
    <t>Exports by Spain</t>
  </si>
  <si>
    <t>TURKEY</t>
  </si>
  <si>
    <t xml:space="preserve"> Area in hectares </t>
  </si>
  <si>
    <t>Indoor ornamental plants</t>
  </si>
  <si>
    <t>Outdoor ornamental plants</t>
  </si>
  <si>
    <t>Flowers bulbs</t>
  </si>
  <si>
    <t>Production under protection in million pieces</t>
  </si>
  <si>
    <t>Area under protection in hectares</t>
  </si>
  <si>
    <t xml:space="preserve">Area (In hectares) </t>
  </si>
  <si>
    <t xml:space="preserve">Gladiolus </t>
  </si>
  <si>
    <t>Gerbera daisy</t>
  </si>
  <si>
    <t xml:space="preserve">Gypsophila </t>
  </si>
  <si>
    <t xml:space="preserve">Anemone </t>
  </si>
  <si>
    <t xml:space="preserve">Freesia </t>
  </si>
  <si>
    <t>Matthiola</t>
  </si>
  <si>
    <t xml:space="preserve">Orchids </t>
  </si>
  <si>
    <t xml:space="preserve">Tulips </t>
  </si>
  <si>
    <t xml:space="preserve">Roses (Cut) </t>
  </si>
  <si>
    <t xml:space="preserve">Lisianthus </t>
  </si>
  <si>
    <t xml:space="preserve">Hyacinth </t>
  </si>
  <si>
    <t xml:space="preserve">Iris </t>
  </si>
  <si>
    <t xml:space="preserve">Statice </t>
  </si>
  <si>
    <t>Antalya</t>
  </si>
  <si>
    <t>İzmir</t>
  </si>
  <si>
    <t>Yalova</t>
  </si>
  <si>
    <t>Isparta</t>
  </si>
  <si>
    <t>Konya</t>
  </si>
  <si>
    <t>Mersin</t>
  </si>
  <si>
    <t>Bursa</t>
  </si>
  <si>
    <t xml:space="preserve">Production of ornamental plants, indoor </t>
  </si>
  <si>
    <t>indoor</t>
  </si>
  <si>
    <t>Adana</t>
  </si>
  <si>
    <t>Sakarya</t>
  </si>
  <si>
    <t>Ankara</t>
  </si>
  <si>
    <t>Production of ornamental plants, outdoor</t>
  </si>
  <si>
    <t>outdoor</t>
  </si>
  <si>
    <t>Edirne</t>
  </si>
  <si>
    <t>Manisa</t>
  </si>
  <si>
    <t>Samsun</t>
  </si>
  <si>
    <t>Kocaeli</t>
  </si>
  <si>
    <t>Düzce</t>
  </si>
  <si>
    <t>Tekirdağ</t>
  </si>
  <si>
    <t xml:space="preserve">TURKEY - External trade ornamental horticultural products </t>
  </si>
  <si>
    <t xml:space="preserve">Cut flowers fresh, value in 1 000 EUR </t>
  </si>
  <si>
    <t>Bulgaria</t>
  </si>
  <si>
    <t>Hungary</t>
  </si>
  <si>
    <t xml:space="preserve">Uzbekistan </t>
  </si>
  <si>
    <t xml:space="preserve">Azerbaidchan </t>
  </si>
  <si>
    <t xml:space="preserve">Turkmenistan </t>
  </si>
  <si>
    <t>Iraq</t>
  </si>
  <si>
    <t>Georgia</t>
  </si>
  <si>
    <t>UNITED STATES OF AMERICA</t>
  </si>
  <si>
    <t>Ornamental plants under protection and in the open</t>
  </si>
  <si>
    <t>Floriculture and bedding crops</t>
  </si>
  <si>
    <t xml:space="preserve">Bedding/garden plants </t>
  </si>
  <si>
    <t xml:space="preserve">Cut flowers and cut florist greens </t>
  </si>
  <si>
    <t xml:space="preserve">Foliage plants, indoor </t>
  </si>
  <si>
    <t xml:space="preserve">Potted flowering plants </t>
  </si>
  <si>
    <t xml:space="preserve">Other floriculture and bedding crops </t>
  </si>
  <si>
    <t>Nursery crops</t>
  </si>
  <si>
    <t>Aquatic plants</t>
  </si>
  <si>
    <t>Sod harvested</t>
  </si>
  <si>
    <t xml:space="preserve">Propagative materials </t>
  </si>
  <si>
    <t xml:space="preserve">Bulbs, corms, rhizoms and tubers , dry </t>
  </si>
  <si>
    <t xml:space="preserve">Cuttings, seedlings, liners and plugs </t>
  </si>
  <si>
    <t xml:space="preserve">Flower seeds </t>
  </si>
  <si>
    <t>Under glass or other protection</t>
  </si>
  <si>
    <t>Number of farms</t>
  </si>
  <si>
    <t>Other floriculture and bedding crops</t>
  </si>
  <si>
    <t>Value of sales (in million USD)</t>
  </si>
  <si>
    <t>in USD</t>
  </si>
  <si>
    <t xml:space="preserve">Bulbs, corms, rhizoms and tubers, dry </t>
  </si>
  <si>
    <t xml:space="preserve">Flowers and pot plants </t>
  </si>
  <si>
    <t>Fiberglass and other rigid greenhouses</t>
  </si>
  <si>
    <t>Film plastic (single / multi greenhouses)</t>
  </si>
  <si>
    <t>Total greenhouse cover</t>
  </si>
  <si>
    <t>Shade and temporary cover</t>
  </si>
  <si>
    <t>Total covered area</t>
  </si>
  <si>
    <t>Open ground</t>
  </si>
  <si>
    <t>Operations with 10 000 or more USD sales</t>
  </si>
  <si>
    <t>Number</t>
  </si>
  <si>
    <t>Operations with 100 000 ore more USD sales</t>
  </si>
  <si>
    <r>
      <t xml:space="preserve">In 1 000 stems </t>
    </r>
    <r>
      <rPr>
        <sz val="8"/>
        <color theme="1"/>
        <rFont val="Arial"/>
        <family val="2"/>
      </rPr>
      <t>if not otherwise stated</t>
    </r>
  </si>
  <si>
    <t>Lilies, all</t>
  </si>
  <si>
    <t>Gladioli, 1 000 spikes</t>
  </si>
  <si>
    <t>Roses, all</t>
  </si>
  <si>
    <t>Chrysanthemums, pompon 1 000 bunches</t>
  </si>
  <si>
    <t>Peony</t>
  </si>
  <si>
    <t>Orchids, all, 1 000 blooms</t>
  </si>
  <si>
    <t>Delphinium and Larkspur</t>
  </si>
  <si>
    <t>Carnation, standard</t>
  </si>
  <si>
    <t>Leatherleaf ferns  1 000 bunches</t>
  </si>
  <si>
    <t xml:space="preserve">Production of pot plants for indoor or patio use </t>
  </si>
  <si>
    <t>In 1 000 pots</t>
  </si>
  <si>
    <r>
      <t>Pots less than 12.7 cm</t>
    </r>
    <r>
      <rPr>
        <sz val="8"/>
        <color theme="1"/>
        <rFont val="Arial"/>
        <family val="2"/>
      </rPr>
      <t xml:space="preserve"> (5 inches)</t>
    </r>
  </si>
  <si>
    <t>Pots 12.7 cm (5 inches) or larger</t>
  </si>
  <si>
    <t>Florist roses</t>
  </si>
  <si>
    <t>Florist chrysanthemums</t>
  </si>
  <si>
    <t>Afican violets</t>
  </si>
  <si>
    <t>Finished florist azaleas</t>
  </si>
  <si>
    <t>Other flowering plants</t>
  </si>
  <si>
    <t>Foliage plants, hanging baskets</t>
  </si>
  <si>
    <t>Production of annual bedding and garden plants</t>
  </si>
  <si>
    <r>
      <t xml:space="preserve"> In 1 000 pots </t>
    </r>
    <r>
      <rPr>
        <sz val="8"/>
        <color theme="1"/>
        <rFont val="Arial"/>
        <family val="2"/>
      </rPr>
      <t>if not otherwise stated</t>
    </r>
  </si>
  <si>
    <t>1 000 flats</t>
  </si>
  <si>
    <t>Pots less than</t>
  </si>
  <si>
    <t>Pots 12,7 cm</t>
  </si>
  <si>
    <t>Pansies, Violas</t>
  </si>
  <si>
    <t>Impatiens, other</t>
  </si>
  <si>
    <t>Geranium, veg. cutting</t>
  </si>
  <si>
    <t>New Guinea Impatiens</t>
  </si>
  <si>
    <t>Geranium, seeds</t>
  </si>
  <si>
    <t>Other flowering and foliar plants</t>
  </si>
  <si>
    <t>Vegetable type plants</t>
  </si>
  <si>
    <t>Hardy / garden Chrysanthemums</t>
  </si>
  <si>
    <t>Potted herbacious perennial plants</t>
  </si>
  <si>
    <t xml:space="preserve"> In 1 000 pots</t>
  </si>
  <si>
    <t>Container size</t>
  </si>
  <si>
    <t xml:space="preserve"> Less than 3.8 l</t>
  </si>
  <si>
    <t>3.8-7.6 l</t>
  </si>
  <si>
    <t>7.6 l or larger</t>
  </si>
  <si>
    <t>Hostas</t>
  </si>
  <si>
    <t xml:space="preserve">Other herbaceous perennials </t>
  </si>
  <si>
    <t xml:space="preserve">Production of ornamental plants (floriculture) under protection </t>
  </si>
  <si>
    <t xml:space="preserve">Production of ornamental plants (floriculture) in the open </t>
  </si>
  <si>
    <t xml:space="preserve">Production of nursery stock </t>
  </si>
  <si>
    <t xml:space="preserve">Production of christmas trees </t>
  </si>
  <si>
    <t>Floriculture under protection</t>
  </si>
  <si>
    <t xml:space="preserve">Floriculture in the open </t>
  </si>
  <si>
    <t>Nursery area in the open</t>
  </si>
  <si>
    <t>in ha</t>
  </si>
  <si>
    <t>Florida</t>
  </si>
  <si>
    <t>California</t>
  </si>
  <si>
    <t>Oregon</t>
  </si>
  <si>
    <t>North Carolina</t>
  </si>
  <si>
    <t>Michigan</t>
  </si>
  <si>
    <t>New Jersey</t>
  </si>
  <si>
    <t>Texas</t>
  </si>
  <si>
    <t>Pennsylvania</t>
  </si>
  <si>
    <t>Ohio</t>
  </si>
  <si>
    <t>Wisconsin</t>
  </si>
  <si>
    <t xml:space="preserve">Wisconsin </t>
  </si>
  <si>
    <t>Tennessee</t>
  </si>
  <si>
    <t>New York</t>
  </si>
  <si>
    <t>Washington</t>
  </si>
  <si>
    <t>Virginia</t>
  </si>
  <si>
    <t>Hawaii</t>
  </si>
  <si>
    <t>Minnesota</t>
  </si>
  <si>
    <t>Other states</t>
  </si>
  <si>
    <t>Illinois</t>
  </si>
  <si>
    <t>Connecticut</t>
  </si>
  <si>
    <t>South Carolina</t>
  </si>
  <si>
    <t>Maine</t>
  </si>
  <si>
    <t>Maryland</t>
  </si>
  <si>
    <t>Arizona</t>
  </si>
  <si>
    <t>Bulbs and tubers, corms etc. dormant</t>
  </si>
  <si>
    <t>Bulbs and tubers, total</t>
  </si>
  <si>
    <t>Cuttings and slips</t>
  </si>
  <si>
    <t>Trees, shrubs and bushes</t>
  </si>
  <si>
    <t xml:space="preserve"> Plants, live</t>
  </si>
  <si>
    <t xml:space="preserve">Live Plants, total </t>
  </si>
  <si>
    <t xml:space="preserve">Cut foliage, total </t>
  </si>
  <si>
    <t xml:space="preserve">Imports  </t>
  </si>
  <si>
    <t xml:space="preserve">Cut foliage, value in 1 000 EUR </t>
  </si>
  <si>
    <t>Philippines</t>
  </si>
  <si>
    <t xml:space="preserve">USA - External trade of ornamental horticultural products </t>
  </si>
  <si>
    <t>Peru</t>
  </si>
  <si>
    <t>Dominican Republic</t>
  </si>
  <si>
    <t xml:space="preserve">Exports   </t>
  </si>
  <si>
    <t xml:space="preserve">Flowers and plants,value  in 1 000 EUR </t>
  </si>
  <si>
    <t>Plants, live</t>
  </si>
  <si>
    <t>Figure 1</t>
  </si>
  <si>
    <t xml:space="preserve">Value </t>
  </si>
  <si>
    <t xml:space="preserve">(operations with 10 000 or more USD sales) </t>
  </si>
  <si>
    <t>In billion USD</t>
  </si>
  <si>
    <t xml:space="preserve">Figure 2 </t>
  </si>
  <si>
    <t>Annual bedding/garden plants</t>
  </si>
  <si>
    <t>Foliage plants, indoor/patio use</t>
  </si>
  <si>
    <t>Herbaceous perennial plants</t>
  </si>
  <si>
    <t>Propagative floriculture materials</t>
  </si>
  <si>
    <t>Cut cultivated greens</t>
  </si>
  <si>
    <t xml:space="preserve">(operations with 100 000 or more USD sales )  </t>
  </si>
  <si>
    <t>Figure 3</t>
  </si>
  <si>
    <t>(operations with 100 000 or more USD sales )</t>
  </si>
  <si>
    <t>Distribution</t>
  </si>
  <si>
    <r>
      <t>Floriculture crop value</t>
    </r>
    <r>
      <rPr>
        <vertAlign val="superscript"/>
        <sz val="10"/>
        <color theme="1"/>
        <rFont val="Arial"/>
        <family val="2"/>
      </rPr>
      <t xml:space="preserve"> 1</t>
    </r>
  </si>
  <si>
    <r>
      <t xml:space="preserve">Wholesale value of all plant categories </t>
    </r>
    <r>
      <rPr>
        <b/>
        <vertAlign val="superscript"/>
        <sz val="8"/>
        <color theme="1"/>
        <rFont val="Arial"/>
        <family val="2"/>
      </rPr>
      <t>2</t>
    </r>
  </si>
  <si>
    <t>State</t>
  </si>
  <si>
    <t>Califonia</t>
  </si>
  <si>
    <r>
      <rPr>
        <vertAlign val="superscript"/>
        <sz val="7"/>
        <color theme="1"/>
        <rFont val="Calibri"/>
        <family val="2"/>
      </rPr>
      <t xml:space="preserve">1 </t>
    </r>
    <r>
      <rPr>
        <sz val="7"/>
        <color theme="1"/>
        <rFont val="Calibri"/>
        <family val="2"/>
      </rPr>
      <t>operations  with 100 000 or more USD sales</t>
    </r>
  </si>
  <si>
    <r>
      <rPr>
        <vertAlign val="superscript"/>
        <sz val="7"/>
        <color theme="1"/>
        <rFont val="Calibri"/>
        <family val="2"/>
      </rPr>
      <t>2</t>
    </r>
    <r>
      <rPr>
        <sz val="7"/>
        <color theme="1"/>
        <rFont val="Calibri"/>
        <family val="2"/>
      </rPr>
      <t xml:space="preserve"> includes bedding garden plants, herbaceous perennial plants, potted flowering plants, foliage plants for indoor or patio use, cut flowers, Cut cultivated greens, propagative floriculture material. </t>
    </r>
  </si>
  <si>
    <t xml:space="preserve">          Line 127      Flowers, seeds and potted plants</t>
  </si>
  <si>
    <t>Table 2.4.5 U. Personal Consumption Expenditures by Type of product (A) (Q) (M)</t>
  </si>
  <si>
    <t>2011</t>
  </si>
  <si>
    <t>2012</t>
  </si>
  <si>
    <t>2013</t>
  </si>
  <si>
    <t>2014</t>
  </si>
  <si>
    <t>2015</t>
  </si>
  <si>
    <t>2016</t>
  </si>
  <si>
    <t>Figure 4</t>
  </si>
  <si>
    <t>UNITED KINGDOM</t>
  </si>
  <si>
    <t>243 600</t>
  </si>
  <si>
    <t>Production value in million EUR</t>
  </si>
  <si>
    <t>Flowers and bulbs</t>
  </si>
  <si>
    <t xml:space="preserve">Hardy ornamental nursery stock </t>
  </si>
  <si>
    <t xml:space="preserve">Flowers and bulbs in the open </t>
  </si>
  <si>
    <t>Hardy plants and flowers, nursery stock</t>
  </si>
  <si>
    <t>Protected crops</t>
  </si>
  <si>
    <t xml:space="preserve">Ornamental plants, total </t>
  </si>
  <si>
    <r>
      <rPr>
        <vertAlign val="superscript"/>
        <sz val="7"/>
        <color theme="1"/>
        <rFont val="Calibri"/>
        <family val="2"/>
      </rPr>
      <t>1</t>
    </r>
    <r>
      <rPr>
        <sz val="7"/>
        <color theme="1"/>
        <rFont val="Calibri"/>
        <family val="2"/>
      </rPr>
      <t xml:space="preserve">  provisional </t>
    </r>
  </si>
  <si>
    <t>UK - Flowers and plants</t>
  </si>
  <si>
    <t>Flowers and bulbs in the open</t>
  </si>
  <si>
    <t>Hardy nursery stock</t>
  </si>
  <si>
    <t>Flowers, foliage and other plants</t>
  </si>
  <si>
    <t>England - Flowers and plants</t>
  </si>
  <si>
    <r>
      <t xml:space="preserve">2011 </t>
    </r>
    <r>
      <rPr>
        <b/>
        <vertAlign val="superscript"/>
        <sz val="8"/>
        <color theme="1"/>
        <rFont val="Arial"/>
        <family val="2"/>
      </rPr>
      <t>1</t>
    </r>
  </si>
  <si>
    <t>Perennial herbaceous plants</t>
  </si>
  <si>
    <r>
      <rPr>
        <vertAlign val="superscript"/>
        <sz val="7"/>
        <color rgb="FF000000"/>
        <rFont val="Arial"/>
        <family val="2"/>
      </rPr>
      <t xml:space="preserve">1 </t>
    </r>
    <r>
      <rPr>
        <sz val="7"/>
        <color rgb="FF000000"/>
        <rFont val="Arial"/>
        <family val="2"/>
      </rPr>
      <t xml:space="preserve"> Area for UK </t>
    </r>
  </si>
  <si>
    <t>United Kingdom - External trade ornamental horticultural products</t>
  </si>
  <si>
    <t>Imports by United Kingdom</t>
  </si>
  <si>
    <t>USA</t>
  </si>
  <si>
    <t>Exports by United Kingdom</t>
  </si>
  <si>
    <t>Vietnam</t>
  </si>
  <si>
    <t>others</t>
  </si>
  <si>
    <t>Honduras</t>
  </si>
  <si>
    <t>El Salvador</t>
  </si>
  <si>
    <t>2020/21</t>
  </si>
  <si>
    <t xml:space="preserve">In 1.000 plants or stems </t>
  </si>
  <si>
    <t xml:space="preserve">Production of plants </t>
  </si>
  <si>
    <t>Increase from 2020</t>
  </si>
  <si>
    <t>Distribution of production area in 2021</t>
  </si>
  <si>
    <t>Total sales</t>
  </si>
  <si>
    <t>Curacao</t>
  </si>
  <si>
    <t>Cutflowers</t>
  </si>
  <si>
    <t>Cutflowers, fresh</t>
  </si>
  <si>
    <t>Cutflowers, treated</t>
  </si>
  <si>
    <t>United Kingdom - External Trade Ornamental Horticultural Products</t>
  </si>
  <si>
    <t>Source: Gov.UK: Farming Statistics, June Survey 2021 - UK</t>
  </si>
  <si>
    <t xml:space="preserve">          Christmas trees </t>
  </si>
  <si>
    <t xml:space="preserve"> Forest trees</t>
  </si>
  <si>
    <t>Source:  Statistik Austria , Statistik der Landwirtschaft 2020</t>
  </si>
  <si>
    <t>Aruba Island</t>
  </si>
  <si>
    <t>Source: Turkish Statistical Institute: Crop Production Statistics, 2022</t>
  </si>
  <si>
    <t>Source: Turkish Statistical Institute, Database: Foreign Trade Statistics, 2022</t>
  </si>
  <si>
    <t xml:space="preserve">Total: 179 ha </t>
  </si>
  <si>
    <t xml:space="preserve">Total: 4 034 ha </t>
  </si>
  <si>
    <t xml:space="preserve">Total: 1 265 ha </t>
  </si>
  <si>
    <t xml:space="preserve"> 2 803</t>
  </si>
  <si>
    <t xml:space="preserve"> 2 705</t>
  </si>
  <si>
    <t xml:space="preserve"> 2 849</t>
  </si>
  <si>
    <t xml:space="preserve"> 4 054</t>
  </si>
  <si>
    <t xml:space="preserve"> 3 322</t>
  </si>
  <si>
    <t xml:space="preserve"> 3 085</t>
  </si>
  <si>
    <t>Summe</t>
  </si>
  <si>
    <t>Change to previous year</t>
  </si>
  <si>
    <t>Daylily</t>
  </si>
  <si>
    <t>Korea. South</t>
  </si>
  <si>
    <t>In 1 million USD</t>
  </si>
  <si>
    <t xml:space="preserve">Wholesale value in 1 million USD </t>
  </si>
  <si>
    <r>
      <rPr>
        <vertAlign val="superscript"/>
        <sz val="7"/>
        <color theme="1"/>
        <rFont val="Arial"/>
        <family val="2"/>
      </rPr>
      <t>1</t>
    </r>
    <r>
      <rPr>
        <sz val="7"/>
        <color theme="1"/>
        <rFont val="Arial"/>
        <family val="2"/>
      </rPr>
      <t xml:space="preserve"> Mirror Data</t>
    </r>
  </si>
  <si>
    <t xml:space="preserve">Live plants, fresh, value in 1 000 EUR </t>
  </si>
  <si>
    <t xml:space="preserve">Roses, grafted or not, value in 1 000 EUR </t>
  </si>
  <si>
    <t xml:space="preserve">Cuttings and slips, unrooted, value in 1 000 EUR </t>
  </si>
  <si>
    <t xml:space="preserve">UGANDA  </t>
  </si>
  <si>
    <t xml:space="preserve">Cut flowers and plants, value in 1 000 EUR </t>
  </si>
  <si>
    <t xml:space="preserve">                   Roses</t>
  </si>
  <si>
    <t xml:space="preserve">                  Carnations</t>
  </si>
  <si>
    <t xml:space="preserve">                 Other fresh cut flowers </t>
  </si>
  <si>
    <t xml:space="preserve">                   Cuttings and slips, unrooted</t>
  </si>
  <si>
    <t>Seychelles</t>
  </si>
  <si>
    <t xml:space="preserve">Cuttings and slips, unrooted,  value in 1 000 EUR </t>
  </si>
  <si>
    <t xml:space="preserve">Guatemala - External trade ornamental horticultural products </t>
  </si>
  <si>
    <t>Value in 1 000 EUR</t>
  </si>
  <si>
    <t>Quantity in tons</t>
  </si>
  <si>
    <t>Nicaragua</t>
  </si>
  <si>
    <t>Other cut flowers, treated</t>
  </si>
  <si>
    <r>
      <rPr>
        <vertAlign val="superscript"/>
        <sz val="7"/>
        <color theme="1"/>
        <rFont val="Arial"/>
        <family val="2"/>
      </rPr>
      <t>1</t>
    </r>
    <r>
      <rPr>
        <sz val="7"/>
        <color theme="1"/>
        <rFont val="Arial"/>
        <family val="2"/>
      </rPr>
      <t xml:space="preserve"> From 2015 included in potted roses </t>
    </r>
  </si>
  <si>
    <t>Production value at basic prices</t>
  </si>
  <si>
    <t>506 000</t>
  </si>
  <si>
    <t>2021e</t>
  </si>
  <si>
    <r>
      <t xml:space="preserve">2022 </t>
    </r>
    <r>
      <rPr>
        <b/>
        <vertAlign val="superscript"/>
        <sz val="8"/>
        <color theme="1"/>
        <rFont val="Arial"/>
        <family val="2"/>
      </rPr>
      <t>1</t>
    </r>
  </si>
  <si>
    <t>Source: Statistics Denmark; StatBank Denmark, Businesss sectors/Agricuture, horticulture and forestry/Cropsland/ Cultivated Area by region, unit and crop</t>
  </si>
  <si>
    <t>Results Census of Agriculture and Forestry 2015/2020</t>
  </si>
  <si>
    <r>
      <rPr>
        <vertAlign val="superscript"/>
        <sz val="7"/>
        <rFont val="Calibri"/>
        <family val="2"/>
        <scheme val="minor"/>
      </rPr>
      <t xml:space="preserve">1 </t>
    </r>
    <r>
      <rPr>
        <sz val="7"/>
        <rFont val="Calibri"/>
        <family val="2"/>
        <scheme val="minor"/>
      </rPr>
      <t>Years 2014 and 2015 Actual area of installed houses</t>
    </r>
  </si>
  <si>
    <t>Chinese, Taipei</t>
  </si>
  <si>
    <t>Hong Kong</t>
  </si>
  <si>
    <t>Source: Statistics of Japan, 2020 Census of Agriculture and Forestry</t>
  </si>
  <si>
    <t>Source: Statistics Department, Ministry of Agriculture, Forestry and  Fisheries, Statistical Yearbook, Number 95,  2019/20</t>
  </si>
  <si>
    <t>Betrierbe insgesammt</t>
  </si>
  <si>
    <t>Prozenre anteil</t>
  </si>
  <si>
    <t>Summe %</t>
  </si>
  <si>
    <t>2019e</t>
  </si>
  <si>
    <t>2018e</t>
  </si>
  <si>
    <t>e: estimated based on the total number of enterprises</t>
  </si>
  <si>
    <t>Crisantemos</t>
  </si>
  <si>
    <t>Lyatris</t>
  </si>
  <si>
    <t>Ginger</t>
  </si>
  <si>
    <t>Heliconias</t>
  </si>
  <si>
    <t>Paraguay</t>
  </si>
  <si>
    <t>Source: Statistisches Bundesamt, Zierpflanzenerhebung 2021</t>
  </si>
  <si>
    <t>Number of enterprises 2021</t>
  </si>
  <si>
    <t xml:space="preserve"> Zierpflanzen zum Selberschneiden</t>
  </si>
  <si>
    <t>Ornamental plants (pick your own)</t>
  </si>
  <si>
    <r>
      <t xml:space="preserve">Ornamental plants (pick your own) </t>
    </r>
    <r>
      <rPr>
        <vertAlign val="superscript"/>
        <sz val="8"/>
        <color theme="1"/>
        <rFont val="Arial"/>
        <family val="2"/>
      </rPr>
      <t>5</t>
    </r>
  </si>
  <si>
    <r>
      <rPr>
        <vertAlign val="superscript"/>
        <sz val="7"/>
        <color theme="1"/>
        <rFont val="Arial"/>
        <family val="2"/>
      </rPr>
      <t>5</t>
    </r>
    <r>
      <rPr>
        <sz val="7"/>
        <color theme="1"/>
        <rFont val="Arial"/>
        <family val="2"/>
      </rPr>
      <t xml:space="preserve">  E.g. gladioli, sunflowers</t>
    </r>
  </si>
  <si>
    <t>Source: Statistisches Bundesamt, Baumschulerhebung 2021</t>
  </si>
  <si>
    <t>Source: Statistisches Bundesamt, Baumschulerhebungen 2021</t>
  </si>
  <si>
    <r>
      <t>2021</t>
    </r>
    <r>
      <rPr>
        <b/>
        <vertAlign val="superscript"/>
        <sz val="8"/>
        <color theme="1"/>
        <rFont val="Arial"/>
        <family val="2"/>
      </rPr>
      <t xml:space="preserve"> 3</t>
    </r>
  </si>
  <si>
    <r>
      <rPr>
        <vertAlign val="superscript"/>
        <sz val="7"/>
        <color rgb="FF000000"/>
        <rFont val="Arial"/>
        <family val="2"/>
      </rPr>
      <t xml:space="preserve">4  </t>
    </r>
    <r>
      <rPr>
        <sz val="7"/>
        <color rgb="FF000000"/>
        <rFont val="Arial"/>
        <family val="2"/>
      </rPr>
      <t>With  x darleyensis, carnea etc.</t>
    </r>
  </si>
  <si>
    <r>
      <rPr>
        <vertAlign val="superscript"/>
        <sz val="7"/>
        <color rgb="FF000000"/>
        <rFont val="Arial"/>
        <family val="2"/>
      </rPr>
      <t xml:space="preserve">1 </t>
    </r>
    <r>
      <rPr>
        <sz val="7"/>
        <color rgb="FF000000"/>
        <rFont val="Arial"/>
        <family val="2"/>
      </rPr>
      <t xml:space="preserve"> Finished products      </t>
    </r>
    <r>
      <rPr>
        <vertAlign val="superscript"/>
        <sz val="7"/>
        <color rgb="FF000000"/>
        <rFont val="Arial"/>
        <family val="2"/>
      </rPr>
      <t>2</t>
    </r>
    <r>
      <rPr>
        <sz val="7"/>
        <color rgb="FF000000"/>
        <rFont val="Arial"/>
        <family val="2"/>
      </rPr>
      <t xml:space="preserve"> Half finished products and young plants   </t>
    </r>
    <r>
      <rPr>
        <vertAlign val="superscript"/>
        <sz val="7"/>
        <color rgb="FF000000"/>
        <rFont val="Arial"/>
        <family val="2"/>
      </rPr>
      <t>3</t>
    </r>
    <r>
      <rPr>
        <sz val="7"/>
        <color rgb="FF000000"/>
        <rFont val="Arial"/>
        <family val="2"/>
      </rPr>
      <t xml:space="preserve"> Comparability of data between different years  is limited </t>
    </r>
  </si>
  <si>
    <t xml:space="preserve">Total: 2 999 ha </t>
  </si>
  <si>
    <t>Source: Stat. Bundesamt, Baumschul- and Zierpflanzenerhebung 2021</t>
  </si>
  <si>
    <t xml:space="preserve">Total: 2 815 ha </t>
  </si>
  <si>
    <t xml:space="preserve">Total: 17 160 ha </t>
  </si>
  <si>
    <r>
      <rPr>
        <vertAlign val="superscript"/>
        <sz val="7"/>
        <color theme="1"/>
        <rFont val="Arial"/>
        <family val="2"/>
      </rPr>
      <t xml:space="preserve">1 </t>
    </r>
    <r>
      <rPr>
        <sz val="7"/>
        <color theme="1"/>
        <rFont val="Arial"/>
        <family val="2"/>
      </rPr>
      <t>from July 2021</t>
    </r>
  </si>
  <si>
    <r>
      <t>2021</t>
    </r>
    <r>
      <rPr>
        <b/>
        <vertAlign val="superscript"/>
        <sz val="10"/>
        <color theme="1"/>
        <rFont val="Arial"/>
        <family val="2"/>
      </rPr>
      <t xml:space="preserve"> 1</t>
    </r>
  </si>
  <si>
    <t>Flowers and ornamental plants*</t>
  </si>
  <si>
    <t>*incl. Christmas Trees,  e: estimated, p: provisional</t>
  </si>
  <si>
    <t>Source: Veiling Holambra, 2022</t>
  </si>
  <si>
    <t>Congo, Democratic Republic of the</t>
  </si>
  <si>
    <t>Liguria</t>
  </si>
  <si>
    <t>Lombardia</t>
  </si>
  <si>
    <t>Toscana</t>
  </si>
  <si>
    <t>Lazio</t>
  </si>
  <si>
    <t>Campania</t>
  </si>
  <si>
    <t>Sicilia</t>
  </si>
  <si>
    <t>Piemonte</t>
  </si>
  <si>
    <t>Puglia</t>
  </si>
  <si>
    <t xml:space="preserve">Other regions </t>
  </si>
  <si>
    <t>Total: 8 815 ha</t>
  </si>
  <si>
    <t>Source: Agricultural Census 2020 &amp; 2010</t>
  </si>
  <si>
    <t>e: estimated</t>
  </si>
  <si>
    <r>
      <rPr>
        <vertAlign val="superscript"/>
        <sz val="7"/>
        <rFont val="Arial"/>
        <family val="2"/>
      </rPr>
      <t>2</t>
    </r>
    <r>
      <rPr>
        <sz val="7"/>
        <rFont val="Arial"/>
        <family val="2"/>
      </rPr>
      <t xml:space="preserve"> Source: Ha Noi Rural Development Division</t>
    </r>
  </si>
  <si>
    <r>
      <rPr>
        <vertAlign val="superscript"/>
        <sz val="7"/>
        <rFont val="Arial"/>
        <family val="2"/>
      </rPr>
      <t xml:space="preserve">3 </t>
    </r>
    <r>
      <rPr>
        <sz val="7"/>
        <rFont val="Arial"/>
        <family val="2"/>
      </rPr>
      <t>Source: Vietnam Journal of Agricultural Sciences - May 2021</t>
    </r>
  </si>
  <si>
    <r>
      <rPr>
        <vertAlign val="superscript"/>
        <sz val="7"/>
        <rFont val="Arial"/>
        <family val="2"/>
      </rPr>
      <t>4</t>
    </r>
    <r>
      <rPr>
        <sz val="7"/>
        <rFont val="Arial"/>
        <family val="2"/>
      </rPr>
      <t xml:space="preserve"> Source: Dutch Embassy Hanoi, Agriculture, Nature and Food Section, </t>
    </r>
  </si>
  <si>
    <r>
      <rPr>
        <vertAlign val="superscript"/>
        <sz val="7"/>
        <rFont val="Arial"/>
        <family val="2"/>
      </rPr>
      <t>1</t>
    </r>
    <r>
      <rPr>
        <sz val="7"/>
        <rFont val="Arial"/>
        <family val="2"/>
      </rPr>
      <t xml:space="preserve"> Source: Institute of Vegetable and Fruit Research under the Ministry of Agriculture and Rural Development</t>
    </r>
  </si>
  <si>
    <r>
      <t xml:space="preserve">35000 </t>
    </r>
    <r>
      <rPr>
        <b/>
        <vertAlign val="superscript"/>
        <sz val="8"/>
        <color theme="1"/>
        <rFont val="Arial"/>
        <family val="2"/>
      </rPr>
      <t>1</t>
    </r>
  </si>
  <si>
    <r>
      <t>7960</t>
    </r>
    <r>
      <rPr>
        <vertAlign val="superscript"/>
        <sz val="8"/>
        <color theme="1"/>
        <rFont val="Arial"/>
        <family val="2"/>
      </rPr>
      <t xml:space="preserve"> 2</t>
    </r>
  </si>
  <si>
    <r>
      <t>5484</t>
    </r>
    <r>
      <rPr>
        <vertAlign val="superscript"/>
        <sz val="8"/>
        <color theme="1"/>
        <rFont val="Arial"/>
        <family val="2"/>
      </rPr>
      <t xml:space="preserve"> 2</t>
    </r>
  </si>
  <si>
    <t>7465e</t>
  </si>
  <si>
    <t>32823e</t>
  </si>
  <si>
    <r>
      <t>2008</t>
    </r>
    <r>
      <rPr>
        <b/>
        <vertAlign val="superscript"/>
        <sz val="8"/>
        <color theme="1"/>
        <rFont val="Arial"/>
        <family val="2"/>
      </rPr>
      <t xml:space="preserve"> 4</t>
    </r>
  </si>
  <si>
    <t>6970e</t>
  </si>
  <si>
    <t>6474e</t>
  </si>
  <si>
    <t>5979e</t>
  </si>
  <si>
    <t>30645e</t>
  </si>
  <si>
    <t>28468e</t>
  </si>
  <si>
    <t>26290e</t>
  </si>
  <si>
    <t>24113e</t>
  </si>
  <si>
    <r>
      <t xml:space="preserve">8283 </t>
    </r>
    <r>
      <rPr>
        <vertAlign val="superscript"/>
        <sz val="8"/>
        <color theme="1"/>
        <rFont val="Arial"/>
        <family val="2"/>
      </rPr>
      <t>3</t>
    </r>
  </si>
  <si>
    <r>
      <t>8152</t>
    </r>
    <r>
      <rPr>
        <vertAlign val="superscript"/>
        <sz val="8"/>
        <color theme="1"/>
        <rFont val="Arial"/>
        <family val="2"/>
      </rPr>
      <t xml:space="preserve"> 3</t>
    </r>
  </si>
  <si>
    <r>
      <t xml:space="preserve">7909 </t>
    </r>
    <r>
      <rPr>
        <vertAlign val="superscript"/>
        <sz val="8"/>
        <color theme="1"/>
        <rFont val="Arial"/>
        <family val="2"/>
      </rPr>
      <t>3</t>
    </r>
  </si>
  <si>
    <t>Source: Statistics Norway, Census of Agriculture 2018</t>
  </si>
  <si>
    <r>
      <t xml:space="preserve">2014/15 </t>
    </r>
    <r>
      <rPr>
        <b/>
        <vertAlign val="superscript"/>
        <sz val="10"/>
        <color theme="1"/>
        <rFont val="Arial"/>
        <family val="2"/>
      </rPr>
      <t>2</t>
    </r>
  </si>
  <si>
    <r>
      <t xml:space="preserve"> </t>
    </r>
    <r>
      <rPr>
        <vertAlign val="superscript"/>
        <sz val="7"/>
        <color theme="1"/>
        <rFont val="Arial"/>
        <family val="2"/>
      </rPr>
      <t xml:space="preserve"> 1 </t>
    </r>
    <r>
      <rPr>
        <sz val="7"/>
        <color theme="1"/>
        <rFont val="Arial"/>
        <family val="2"/>
      </rPr>
      <t xml:space="preserve"> Final estimate   </t>
    </r>
  </si>
  <si>
    <t xml:space="preserve">2018/19 </t>
  </si>
  <si>
    <t>Chhatisgarh</t>
  </si>
  <si>
    <t>Source: Statistics Norway, Census of Agriculture 2020</t>
  </si>
  <si>
    <t>Flowers and ornamental plants, under protection</t>
  </si>
  <si>
    <t>Flowers and plants  2020</t>
  </si>
  <si>
    <t>Source: FranceAgriMer, 2022: Les filières de l’horticulture et de la pépinière en France</t>
  </si>
  <si>
    <t>1 003</t>
  </si>
  <si>
    <t>1 009</t>
  </si>
  <si>
    <t>1 020</t>
  </si>
  <si>
    <t>1 023</t>
  </si>
  <si>
    <t>1 214</t>
  </si>
  <si>
    <t>1 064</t>
  </si>
  <si>
    <t>16 436</t>
  </si>
  <si>
    <t>16 877</t>
  </si>
  <si>
    <t>16 991</t>
  </si>
  <si>
    <t>16 356</t>
  </si>
  <si>
    <t>18 773</t>
  </si>
  <si>
    <t>16 408</t>
  </si>
  <si>
    <t>85 137</t>
  </si>
  <si>
    <t>73 923</t>
  </si>
  <si>
    <t>2 708</t>
  </si>
  <si>
    <t>1 195</t>
  </si>
  <si>
    <t>2 306</t>
  </si>
  <si>
    <t>5 791</t>
  </si>
  <si>
    <t>4 670</t>
  </si>
  <si>
    <t>1 518</t>
  </si>
  <si>
    <t>1 357</t>
  </si>
  <si>
    <t>1 039</t>
  </si>
  <si>
    <t xml:space="preserve">. </t>
  </si>
  <si>
    <t>12 700</t>
  </si>
  <si>
    <t>2 668</t>
  </si>
  <si>
    <t>2 405</t>
  </si>
  <si>
    <t>Non Orchid</t>
  </si>
  <si>
    <t>Ornamental Plants</t>
  </si>
  <si>
    <t>Number of planted Plants</t>
  </si>
  <si>
    <t>Total Production Value (in RM)</t>
  </si>
  <si>
    <t>Holdings with production of flowers in greenhouses</t>
  </si>
  <si>
    <t>C180000</t>
  </si>
  <si>
    <t>C180400</t>
  </si>
  <si>
    <t>C180200</t>
  </si>
  <si>
    <t>C180100</t>
  </si>
  <si>
    <t>C180500</t>
  </si>
  <si>
    <t>C180510</t>
  </si>
  <si>
    <t>C180520</t>
  </si>
  <si>
    <t>C180300</t>
  </si>
  <si>
    <t>C430000</t>
  </si>
  <si>
    <t>C430400</t>
  </si>
  <si>
    <t>C430300</t>
  </si>
  <si>
    <t>C430310</t>
  </si>
  <si>
    <t>C430100</t>
  </si>
  <si>
    <t>C430200</t>
  </si>
  <si>
    <t>C430210</t>
  </si>
  <si>
    <t>C430221</t>
  </si>
  <si>
    <t>C430222</t>
  </si>
  <si>
    <t>C430500</t>
  </si>
  <si>
    <t>C439900</t>
  </si>
  <si>
    <t>C210110</t>
  </si>
  <si>
    <t>C210130</t>
  </si>
  <si>
    <t>C210100</t>
  </si>
  <si>
    <t>C210000</t>
  </si>
  <si>
    <t>C210120</t>
  </si>
  <si>
    <t>C210300</t>
  </si>
  <si>
    <t>C210200</t>
  </si>
  <si>
    <t>C440000</t>
  </si>
  <si>
    <t>NC18</t>
  </si>
  <si>
    <t>NC21</t>
  </si>
  <si>
    <t>NC43</t>
  </si>
  <si>
    <t>Source:  Statistik Austria , Agrarstrukturerhebung 2020</t>
  </si>
  <si>
    <t>Ornamental plants, foliage and flowers</t>
  </si>
  <si>
    <t>Total: 3 500 ha</t>
  </si>
  <si>
    <t>South coast</t>
  </si>
  <si>
    <t>North area</t>
  </si>
  <si>
    <t>Central area</t>
  </si>
  <si>
    <t>Eastern area</t>
  </si>
  <si>
    <t>Western area</t>
  </si>
  <si>
    <t>2022e</t>
  </si>
  <si>
    <t>2021/22</t>
  </si>
  <si>
    <t>Distribution of production area in 2022</t>
  </si>
  <si>
    <t>Source: Australian Bureau of Statistics, Value of Agricultural Commodities Produced, 2023</t>
  </si>
  <si>
    <t>Source: Australian Bureau of Statisics, Agricultural Commodities, Australia and state/territory and ASGS (Statistical Area 4) regions, 2023</t>
  </si>
  <si>
    <t>,</t>
  </si>
  <si>
    <t>Centre val de Loire</t>
  </si>
  <si>
    <t>Source: Agricultural Census 2010 &amp; 2020</t>
  </si>
  <si>
    <t>Source: Statistics Denmark, Statbank Business sectors/Agriculture, horticulture and forestry/Cropland/ Cultures in greenhouse  by unit and cultures, Cultivated area by crop, unit, region and time</t>
  </si>
  <si>
    <t>Source: FranceAgriMer 2023, Observatoire des données structurelles des entreprises de l’horticulture et de la pépinière ornementales, Données 2021</t>
  </si>
  <si>
    <t>Source: FranceAgriMer, 2020: Les filières de l’horticulture et de la pépinière en France</t>
  </si>
  <si>
    <t>Value of sales by region 2021</t>
  </si>
  <si>
    <t>2022</t>
  </si>
  <si>
    <t>Source: Ibraflor 2023</t>
  </si>
  <si>
    <r>
      <rPr>
        <vertAlign val="superscript"/>
        <sz val="7"/>
        <color theme="1"/>
        <rFont val="Arial"/>
        <family val="2"/>
      </rPr>
      <t>1</t>
    </r>
    <r>
      <rPr>
        <sz val="7"/>
        <color theme="1"/>
        <rFont val="Arial"/>
        <family val="2"/>
      </rPr>
      <t xml:space="preserve"> Source: Ibraflor 2023</t>
    </r>
  </si>
  <si>
    <t>2021</t>
  </si>
  <si>
    <t>Value in million EUR</t>
  </si>
  <si>
    <t>Fresh cut flowers, foliage &amp; wreaths</t>
  </si>
  <si>
    <t>Indoor potted plants</t>
  </si>
  <si>
    <t>Bulbs and flower seeds</t>
  </si>
  <si>
    <t>Market size</t>
  </si>
  <si>
    <t>Source: Department of Agriculture, Food and the Marine, Amenity Sector Full year 2021 Management Report</t>
  </si>
  <si>
    <t>Distribution or production area in 2020 &amp; 2010</t>
  </si>
  <si>
    <t>Production of flowers and ornamental plants 2020</t>
  </si>
  <si>
    <t>Production of ornamental nursery plants 2010</t>
  </si>
  <si>
    <t>Production of fruit trees 2010</t>
  </si>
  <si>
    <t>1 801</t>
  </si>
  <si>
    <t xml:space="preserve"> 2 136</t>
  </si>
  <si>
    <t xml:space="preserve"> 3 074</t>
  </si>
  <si>
    <t xml:space="preserve"> 4 403</t>
  </si>
  <si>
    <t xml:space="preserve"> 2 710</t>
  </si>
  <si>
    <t xml:space="preserve"> 15 911</t>
  </si>
  <si>
    <t>1000 hanging baskets</t>
  </si>
  <si>
    <t>Netherlands Antilles</t>
  </si>
  <si>
    <t>neuer Link</t>
  </si>
  <si>
    <t>https://apps.bea.gov/iTable/?reqid=19&amp;step=3&amp;isuri=1&amp;1921=underlying&amp;1903=2017</t>
  </si>
  <si>
    <t>no update</t>
  </si>
  <si>
    <r>
      <t xml:space="preserve">2022 </t>
    </r>
    <r>
      <rPr>
        <vertAlign val="superscript"/>
        <sz val="10"/>
        <color theme="1"/>
        <rFont val="Arial"/>
        <family val="2"/>
      </rPr>
      <t>1</t>
    </r>
  </si>
  <si>
    <r>
      <t xml:space="preserve">2021 </t>
    </r>
    <r>
      <rPr>
        <vertAlign val="superscript"/>
        <sz val="10"/>
        <color theme="1"/>
        <rFont val="Arial"/>
        <family val="2"/>
      </rPr>
      <t>1</t>
    </r>
  </si>
  <si>
    <r>
      <t xml:space="preserve">2020 </t>
    </r>
    <r>
      <rPr>
        <vertAlign val="superscript"/>
        <sz val="10"/>
        <color theme="1"/>
        <rFont val="Arial"/>
        <family val="2"/>
      </rPr>
      <t>1</t>
    </r>
  </si>
  <si>
    <r>
      <t xml:space="preserve">2019 </t>
    </r>
    <r>
      <rPr>
        <vertAlign val="superscript"/>
        <sz val="10"/>
        <color theme="1"/>
        <rFont val="Arial"/>
        <family val="2"/>
      </rPr>
      <t>1</t>
    </r>
  </si>
  <si>
    <r>
      <t xml:space="preserve">2018 </t>
    </r>
    <r>
      <rPr>
        <vertAlign val="superscript"/>
        <sz val="10"/>
        <color theme="1"/>
        <rFont val="Arial"/>
        <family val="2"/>
      </rPr>
      <t>1</t>
    </r>
  </si>
  <si>
    <r>
      <t xml:space="preserve">2017 </t>
    </r>
    <r>
      <rPr>
        <vertAlign val="superscript"/>
        <sz val="10"/>
        <color theme="1"/>
        <rFont val="Arial"/>
        <family val="2"/>
      </rPr>
      <t>1</t>
    </r>
  </si>
  <si>
    <r>
      <t xml:space="preserve">2022 </t>
    </r>
    <r>
      <rPr>
        <b/>
        <sz val="8"/>
        <color theme="1"/>
        <rFont val="Calibri"/>
        <family val="2"/>
        <charset val="238"/>
      </rPr>
      <t>¹</t>
    </r>
  </si>
  <si>
    <r>
      <t xml:space="preserve">2021 </t>
    </r>
    <r>
      <rPr>
        <b/>
        <sz val="8"/>
        <color theme="1"/>
        <rFont val="Calibri"/>
        <family val="2"/>
        <charset val="238"/>
      </rPr>
      <t>¹</t>
    </r>
  </si>
  <si>
    <r>
      <t xml:space="preserve">2020 </t>
    </r>
    <r>
      <rPr>
        <b/>
        <sz val="8"/>
        <color theme="1"/>
        <rFont val="Calibri"/>
        <family val="2"/>
        <charset val="238"/>
      </rPr>
      <t>¹</t>
    </r>
  </si>
  <si>
    <r>
      <t xml:space="preserve">2019 </t>
    </r>
    <r>
      <rPr>
        <b/>
        <sz val="8"/>
        <color theme="1"/>
        <rFont val="Calibri"/>
        <family val="2"/>
        <charset val="238"/>
      </rPr>
      <t>¹</t>
    </r>
  </si>
  <si>
    <t>Area of flower production in the open</t>
  </si>
  <si>
    <t>Flower production in the open</t>
  </si>
  <si>
    <t>Source: Deputy of Horticulture- Agriculture Ministry of Iran, 2023</t>
  </si>
  <si>
    <t>1 787</t>
  </si>
  <si>
    <t>1 212</t>
  </si>
  <si>
    <t>1 316</t>
  </si>
  <si>
    <t>1 669</t>
  </si>
  <si>
    <t>1 772</t>
  </si>
  <si>
    <t>1 804</t>
  </si>
  <si>
    <t>1 699</t>
  </si>
  <si>
    <t>1 378</t>
  </si>
  <si>
    <t>15 334</t>
  </si>
  <si>
    <t>13 405</t>
  </si>
  <si>
    <t>1 929</t>
  </si>
  <si>
    <t>323 711</t>
  </si>
  <si>
    <t>138 479</t>
  </si>
  <si>
    <t>76 329</t>
  </si>
  <si>
    <t>27 913</t>
  </si>
  <si>
    <t>24 366</t>
  </si>
  <si>
    <t>13 004</t>
  </si>
  <si>
    <t>13 725</t>
  </si>
  <si>
    <t>3 331</t>
  </si>
  <si>
    <t>2 860</t>
  </si>
  <si>
    <t>2 090</t>
  </si>
  <si>
    <t xml:space="preserve">in Can Dollar </t>
  </si>
  <si>
    <t>Source: ITC Trade Map, 2024</t>
  </si>
  <si>
    <t xml:space="preserve">Total: 15 334 ha </t>
  </si>
  <si>
    <r>
      <t xml:space="preserve">2023 </t>
    </r>
    <r>
      <rPr>
        <b/>
        <vertAlign val="superscript"/>
        <sz val="8"/>
        <color rgb="FF000000"/>
        <rFont val="Arial"/>
        <family val="2"/>
      </rPr>
      <t>1</t>
    </r>
  </si>
  <si>
    <r>
      <t>2022</t>
    </r>
    <r>
      <rPr>
        <b/>
        <vertAlign val="superscript"/>
        <sz val="8"/>
        <color rgb="FF000000"/>
        <rFont val="Arial"/>
        <family val="2"/>
      </rPr>
      <t xml:space="preserve"> 1</t>
    </r>
  </si>
  <si>
    <r>
      <t>2023</t>
    </r>
    <r>
      <rPr>
        <b/>
        <vertAlign val="superscript"/>
        <sz val="8"/>
        <color rgb="FF000000"/>
        <rFont val="Arial"/>
        <family val="2"/>
      </rPr>
      <t xml:space="preserve"> 1</t>
    </r>
  </si>
  <si>
    <r>
      <t xml:space="preserve">2022 </t>
    </r>
    <r>
      <rPr>
        <b/>
        <vertAlign val="superscript"/>
        <sz val="8"/>
        <color rgb="FF000000"/>
        <rFont val="Arial"/>
        <family val="2"/>
      </rPr>
      <t>1</t>
    </r>
  </si>
  <si>
    <t>Source: LUKE, Horticultural Statistics, 2024</t>
  </si>
  <si>
    <r>
      <t>2022/23</t>
    </r>
    <r>
      <rPr>
        <b/>
        <vertAlign val="superscript"/>
        <sz val="10"/>
        <color theme="1"/>
        <rFont val="Arial"/>
        <family val="2"/>
      </rPr>
      <t xml:space="preserve"> 1</t>
    </r>
  </si>
  <si>
    <t>Source: National Horticulture Board, India, Area Production Statistics, 2024</t>
  </si>
  <si>
    <r>
      <t>2022/23</t>
    </r>
    <r>
      <rPr>
        <b/>
        <vertAlign val="superscript"/>
        <sz val="10"/>
        <color theme="1"/>
        <rFont val="Arial"/>
        <family val="2"/>
      </rPr>
      <t>1</t>
    </r>
  </si>
  <si>
    <t>Distribution of production area in 2022/23</t>
  </si>
  <si>
    <t xml:space="preserve">Total: 285 000 ha </t>
  </si>
  <si>
    <r>
      <rPr>
        <vertAlign val="superscript"/>
        <sz val="7"/>
        <color theme="1"/>
        <rFont val="Arial"/>
        <family val="2"/>
      </rPr>
      <t>1</t>
    </r>
    <r>
      <rPr>
        <sz val="7"/>
        <color theme="1"/>
        <rFont val="Arial"/>
        <family val="2"/>
      </rPr>
      <t xml:space="preserve"> Final estimate 2022/23</t>
    </r>
  </si>
  <si>
    <r>
      <rPr>
        <vertAlign val="superscript"/>
        <sz val="7"/>
        <color theme="1"/>
        <rFont val="Arial"/>
        <family val="2"/>
      </rPr>
      <t>1</t>
    </r>
    <r>
      <rPr>
        <sz val="7"/>
        <color theme="1"/>
        <rFont val="Arial"/>
        <family val="2"/>
      </rPr>
      <t xml:space="preserve"> Final estimate: 2022/23</t>
    </r>
  </si>
  <si>
    <t>2022/23</t>
  </si>
  <si>
    <t>Source: National Horticulture Board, India, Indian Horticulture Database, 2024</t>
  </si>
  <si>
    <r>
      <t>2023</t>
    </r>
    <r>
      <rPr>
        <b/>
        <vertAlign val="superscript"/>
        <sz val="8"/>
        <color theme="1"/>
        <rFont val="Arial"/>
        <family val="2"/>
      </rPr>
      <t xml:space="preserve"> 1</t>
    </r>
  </si>
  <si>
    <r>
      <t xml:space="preserve">2023 </t>
    </r>
    <r>
      <rPr>
        <b/>
        <vertAlign val="superscript"/>
        <sz val="8"/>
        <color theme="1"/>
        <rFont val="Arial"/>
        <family val="2"/>
      </rPr>
      <t>1</t>
    </r>
  </si>
  <si>
    <t>Source: Servizio de información Agroalimentaria y Pesquera Mexico, 2024</t>
  </si>
  <si>
    <t>Source: Ministerio de Agricultura, Alimentacion y Medio Ambiente: Avance de Anuario de Estadistica 2023, Capitulo 7.7.1.1 Flores y plantas ornamentales</t>
  </si>
  <si>
    <t>Source: Ministerio de Agricultura, Alimentacion y Medio Ambiente: Avance de Anuario de Estadistica 2023, Capitulo 7.7.1.2 &amp;  7.7.5.1</t>
  </si>
  <si>
    <t>Source: Swedish Board of Agriculture's statistical database, 2024 / Horticulture / Cultivation / Ornamental plants</t>
  </si>
  <si>
    <t>Source: Bundesamt für Statistik, STAT-TAB, 07 Land- und Forstwirtschaft, Landwirtschaftliche Betriebe und landwirtschaftliche Nutzflächen, 2024</t>
  </si>
  <si>
    <t>Source: J. Persson, Schwedisches Zentralamt für Landwirtschaft, Jönköping</t>
  </si>
  <si>
    <t>angefragt</t>
  </si>
  <si>
    <t>Source: 2022 Census of Agriculture, U.S. Department of Agriculture, National Agricultural Statistics Service, Table 39/40</t>
  </si>
  <si>
    <r>
      <t>5 inches</t>
    </r>
    <r>
      <rPr>
        <b/>
        <sz val="8"/>
        <color theme="1"/>
        <rFont val="Arial"/>
        <family val="2"/>
      </rPr>
      <t xml:space="preserve"> or larger</t>
    </r>
  </si>
  <si>
    <r>
      <t>12.7 cm (</t>
    </r>
    <r>
      <rPr>
        <sz val="8"/>
        <color theme="1"/>
        <rFont val="Calibri"/>
        <family val="2"/>
        <scheme val="minor"/>
      </rPr>
      <t>5 inches</t>
    </r>
    <r>
      <rPr>
        <b/>
        <sz val="8"/>
        <color theme="1"/>
        <rFont val="Calibri"/>
        <family val="2"/>
        <scheme val="minor"/>
      </rPr>
      <t>)</t>
    </r>
  </si>
  <si>
    <r>
      <t>2014</t>
    </r>
    <r>
      <rPr>
        <b/>
        <vertAlign val="superscript"/>
        <sz val="8"/>
        <color theme="1"/>
        <rFont val="Arial"/>
        <family val="2"/>
      </rPr>
      <t xml:space="preserve"> 1</t>
    </r>
  </si>
  <si>
    <r>
      <t>2011</t>
    </r>
    <r>
      <rPr>
        <b/>
        <vertAlign val="superscript"/>
        <sz val="8"/>
        <color theme="1"/>
        <rFont val="Arial"/>
        <family val="2"/>
      </rPr>
      <t xml:space="preserve"> 1</t>
    </r>
  </si>
  <si>
    <r>
      <rPr>
        <vertAlign val="superscript"/>
        <sz val="7"/>
        <color theme="1"/>
        <rFont val="Arial"/>
        <family val="2"/>
      </rPr>
      <t>1</t>
    </r>
    <r>
      <rPr>
        <sz val="7"/>
        <color theme="1"/>
        <rFont val="Arial"/>
        <family val="2"/>
      </rPr>
      <t xml:space="preserve"> Data revised</t>
    </r>
  </si>
  <si>
    <r>
      <t xml:space="preserve">2014 </t>
    </r>
    <r>
      <rPr>
        <b/>
        <vertAlign val="superscript"/>
        <sz val="8"/>
        <color theme="1"/>
        <rFont val="Arial"/>
        <family val="2"/>
      </rPr>
      <t>1</t>
    </r>
  </si>
  <si>
    <t>Statistics (agricultureauthority.go.ke)</t>
  </si>
  <si>
    <r>
      <rPr>
        <vertAlign val="superscript"/>
        <sz val="7"/>
        <color theme="1"/>
        <rFont val="Arial"/>
        <family val="2"/>
      </rPr>
      <t xml:space="preserve">1 </t>
    </r>
    <r>
      <rPr>
        <sz val="7"/>
        <color theme="1"/>
        <rFont val="Arial"/>
        <family val="2"/>
      </rPr>
      <t>Data revised</t>
    </r>
  </si>
  <si>
    <t>Source: Ministerio de Agricultura, Alimentacion y Medio Ambiente: Avance de Anuario de Estadistica 2023, Capitulo 7.7.1.-7.7.6. Flores y plantas ornamentales</t>
  </si>
  <si>
    <t>Source: Office of Agricultural Economics, 2024</t>
  </si>
  <si>
    <t>10 500</t>
  </si>
  <si>
    <t>Source: Swedish Board of Agriculture, Horticultural Census 2023</t>
  </si>
  <si>
    <r>
      <rPr>
        <vertAlign val="superscript"/>
        <sz val="7"/>
        <color theme="1"/>
        <rFont val="Arial"/>
        <family val="2"/>
      </rPr>
      <t>1</t>
    </r>
    <r>
      <rPr>
        <sz val="7"/>
        <color theme="1"/>
        <rFont val="Arial"/>
        <family val="2"/>
      </rPr>
      <t xml:space="preserve">  Data revised</t>
    </r>
  </si>
  <si>
    <t xml:space="preserve">Total: 4 894 ha </t>
  </si>
  <si>
    <t xml:space="preserve">Total: 1 210 ha </t>
  </si>
  <si>
    <t xml:space="preserve">Total: 7 795 ha </t>
  </si>
  <si>
    <t>Source: 2022 Census of Agriculture, U.S. Department of Agriculture, National Agricultural Statistics Service</t>
  </si>
  <si>
    <t xml:space="preserve">Total: 26 865 ha </t>
  </si>
  <si>
    <t xml:space="preserve">Total: 159 275 ha </t>
  </si>
  <si>
    <t xml:space="preserve">Total: 118 188 ha </t>
  </si>
  <si>
    <t>Source: Turkish Statistical Institute: Crop Production Statistics, Ministry of Food, Agriculture and Livestock, 2024</t>
  </si>
  <si>
    <t>Source: United States, Departement of Agriculture,  National Agricultural Statistics Service, 2024</t>
  </si>
  <si>
    <t>USA: Expanded wholesale value 2010 - 2023</t>
  </si>
  <si>
    <t>USA: Wholesale value of floricultural sales by plant category  2023</t>
  </si>
  <si>
    <t>Source: United States, Departement of Agriculture, Floriculture Crops 2023 Summary , May 2024</t>
  </si>
  <si>
    <t>USA: Distribution of wholesale value of floriculture crops by state 2023</t>
  </si>
  <si>
    <r>
      <rPr>
        <vertAlign val="superscript"/>
        <sz val="7"/>
        <color theme="1"/>
        <rFont val="Arial"/>
        <family val="2"/>
      </rPr>
      <t xml:space="preserve">1 </t>
    </r>
    <r>
      <rPr>
        <sz val="7"/>
        <color theme="1"/>
        <rFont val="Arial"/>
        <family val="2"/>
      </rPr>
      <t>Source: Book of Angka Tetap Hortikultura 2023, The Directorate General of Horticulture, Ministry of Agriculture</t>
    </r>
  </si>
  <si>
    <t xml:space="preserve">Source: Worldbank, 2024, World Development Indicators </t>
  </si>
  <si>
    <t>Economic indicators  2023</t>
  </si>
  <si>
    <t>Germany: Market value of flowers and ornamental plants 2023</t>
  </si>
  <si>
    <t>Kyrgyzstan</t>
  </si>
  <si>
    <r>
      <t>2022</t>
    </r>
    <r>
      <rPr>
        <b/>
        <vertAlign val="superscript"/>
        <sz val="8"/>
        <color theme="1"/>
        <rFont val="Arial"/>
        <family val="2"/>
      </rPr>
      <t xml:space="preserve"> 2</t>
    </r>
  </si>
  <si>
    <r>
      <rPr>
        <vertAlign val="superscript"/>
        <sz val="7"/>
        <color rgb="FF000000"/>
        <rFont val="Arial"/>
        <family val="2"/>
      </rPr>
      <t xml:space="preserve">1  </t>
    </r>
    <r>
      <rPr>
        <sz val="7"/>
        <color rgb="FF000000"/>
        <rFont val="Arial"/>
        <family val="2"/>
      </rPr>
      <t xml:space="preserve">Provisional data </t>
    </r>
  </si>
  <si>
    <r>
      <t xml:space="preserve">2022 </t>
    </r>
    <r>
      <rPr>
        <b/>
        <vertAlign val="superscript"/>
        <sz val="8"/>
        <color theme="1"/>
        <rFont val="Arial"/>
        <family val="2"/>
      </rPr>
      <t>2</t>
    </r>
  </si>
  <si>
    <t>Latvia</t>
  </si>
  <si>
    <r>
      <t xml:space="preserve">2023 </t>
    </r>
    <r>
      <rPr>
        <vertAlign val="superscript"/>
        <sz val="10"/>
        <color theme="1"/>
        <rFont val="Arial"/>
        <family val="2"/>
      </rPr>
      <t>1</t>
    </r>
  </si>
  <si>
    <r>
      <t xml:space="preserve">2023 </t>
    </r>
    <r>
      <rPr>
        <b/>
        <sz val="8"/>
        <color theme="1"/>
        <rFont val="Calibri"/>
        <family val="2"/>
        <charset val="238"/>
      </rPr>
      <t>¹</t>
    </r>
  </si>
  <si>
    <t>Source: Trade Data Online,Government of Canada, 2024</t>
  </si>
  <si>
    <r>
      <t xml:space="preserve">large flower markets </t>
    </r>
    <r>
      <rPr>
        <vertAlign val="superscript"/>
        <sz val="8"/>
        <color theme="1"/>
        <rFont val="Arial"/>
        <family val="2"/>
      </rPr>
      <t>2</t>
    </r>
  </si>
  <si>
    <r>
      <t xml:space="preserve">large and medium size </t>
    </r>
    <r>
      <rPr>
        <vertAlign val="superscript"/>
        <sz val="8"/>
        <color theme="1"/>
        <rFont val="Arial"/>
        <family val="2"/>
      </rPr>
      <t>3</t>
    </r>
  </si>
  <si>
    <r>
      <t>large size</t>
    </r>
    <r>
      <rPr>
        <vertAlign val="superscript"/>
        <sz val="8"/>
        <color theme="1"/>
        <rFont val="Arial"/>
        <family val="2"/>
      </rPr>
      <t xml:space="preserve"> 4</t>
    </r>
  </si>
  <si>
    <t>Source: China Flower Association, 2024</t>
  </si>
  <si>
    <t>2023p</t>
  </si>
  <si>
    <t>p = provisional</t>
  </si>
  <si>
    <t>p=provisional</t>
  </si>
  <si>
    <r>
      <t xml:space="preserve">2023p </t>
    </r>
    <r>
      <rPr>
        <b/>
        <vertAlign val="superscript"/>
        <sz val="8"/>
        <color theme="1"/>
        <rFont val="Arial"/>
        <family val="2"/>
      </rPr>
      <t>1</t>
    </r>
  </si>
  <si>
    <r>
      <rPr>
        <vertAlign val="superscript"/>
        <sz val="7"/>
        <color rgb="FF000000"/>
        <rFont val="Arial"/>
        <family val="2"/>
      </rPr>
      <t>1</t>
    </r>
    <r>
      <rPr>
        <sz val="7"/>
        <color rgb="FF000000"/>
        <rFont val="Arial"/>
        <family val="2"/>
      </rPr>
      <t xml:space="preserve">  Data of 2021 were collected according to different statistic system from previous years; Data of 2022 and 2023  were collected according to new statistic system.</t>
    </r>
  </si>
  <si>
    <r>
      <rPr>
        <vertAlign val="superscript"/>
        <sz val="7"/>
        <color theme="1"/>
        <rFont val="Calibri"/>
        <family val="2"/>
        <scheme val="minor"/>
      </rPr>
      <t xml:space="preserve">1  </t>
    </r>
    <r>
      <rPr>
        <sz val="7"/>
        <color theme="1"/>
        <rFont val="Calibri"/>
        <family val="2"/>
        <scheme val="minor"/>
      </rPr>
      <t>Data of 2021 were collected according to different statistic system from previous years; Data of 2022 and 2023  were collected according to new statistic system.</t>
    </r>
  </si>
  <si>
    <r>
      <rPr>
        <vertAlign val="superscript"/>
        <sz val="7"/>
        <color theme="1"/>
        <rFont val="Calibri"/>
        <family val="2"/>
        <scheme val="minor"/>
      </rPr>
      <t>2</t>
    </r>
    <r>
      <rPr>
        <sz val="7"/>
        <color theme="1"/>
        <rFont val="Calibri"/>
        <family val="2"/>
        <scheme val="minor"/>
      </rPr>
      <t xml:space="preserve"> Markets covering an area of no less than 100 000 m</t>
    </r>
    <r>
      <rPr>
        <vertAlign val="superscript"/>
        <sz val="7"/>
        <color theme="1"/>
        <rFont val="Calibri"/>
        <family val="2"/>
        <scheme val="minor"/>
      </rPr>
      <t>2</t>
    </r>
    <r>
      <rPr>
        <sz val="7"/>
        <color theme="1"/>
        <rFont val="Calibri"/>
        <family val="2"/>
        <scheme val="minor"/>
      </rPr>
      <t xml:space="preserve"> rent by no less than 500 traders.</t>
    </r>
  </si>
  <si>
    <r>
      <rPr>
        <vertAlign val="superscript"/>
        <sz val="7"/>
        <color theme="1"/>
        <rFont val="Calibri"/>
        <family val="2"/>
        <scheme val="minor"/>
      </rPr>
      <t xml:space="preserve">3 </t>
    </r>
    <r>
      <rPr>
        <sz val="7"/>
        <color theme="1"/>
        <rFont val="Calibri"/>
        <family val="2"/>
        <scheme val="minor"/>
      </rPr>
      <t>enterprises with production area of 3 ha  or more, or with an yearly turnover of over 5 mio RMB Yuan</t>
    </r>
  </si>
  <si>
    <r>
      <rPr>
        <vertAlign val="superscript"/>
        <sz val="7"/>
        <color theme="1"/>
        <rFont val="Calibri"/>
        <family val="2"/>
        <scheme val="minor"/>
      </rPr>
      <t>4</t>
    </r>
    <r>
      <rPr>
        <sz val="7"/>
        <color theme="1"/>
        <rFont val="Calibri"/>
        <family val="2"/>
        <scheme val="minor"/>
      </rPr>
      <t xml:space="preserve"> enterprises with with annual turnover of over 10 mio RMB Yuan</t>
    </r>
  </si>
  <si>
    <t>Flower seeds, young plants, bulbs</t>
  </si>
  <si>
    <t>Source: China Flower Association, 2024 p=provisional</t>
  </si>
  <si>
    <r>
      <t>Flower seeds</t>
    </r>
    <r>
      <rPr>
        <b/>
        <sz val="8"/>
        <color rgb="FF000000"/>
        <rFont val="宋体"/>
        <charset val="134"/>
      </rPr>
      <t>，</t>
    </r>
    <r>
      <rPr>
        <b/>
        <sz val="8"/>
        <color rgb="FF000000"/>
        <rFont val="Arial"/>
        <family val="2"/>
      </rPr>
      <t>Young plants, Bulbs</t>
    </r>
  </si>
  <si>
    <r>
      <rPr>
        <vertAlign val="superscript"/>
        <sz val="7"/>
        <color theme="1"/>
        <rFont val="Arial"/>
        <family val="2"/>
      </rPr>
      <t>1</t>
    </r>
    <r>
      <rPr>
        <sz val="7"/>
        <color theme="1"/>
        <rFont val="Arial"/>
        <family val="2"/>
      </rPr>
      <t xml:space="preserve"> Data of 2021 were collected according to different statistic system from previous years; Data of 2022 and 2023  were collected according to new statistic system.</t>
    </r>
  </si>
  <si>
    <r>
      <t xml:space="preserve">2023p </t>
    </r>
    <r>
      <rPr>
        <b/>
        <vertAlign val="superscript"/>
        <sz val="8"/>
        <color rgb="FF000000"/>
        <rFont val="Arial"/>
        <family val="2"/>
      </rPr>
      <t>1</t>
    </r>
  </si>
  <si>
    <r>
      <t xml:space="preserve">2021 </t>
    </r>
    <r>
      <rPr>
        <b/>
        <vertAlign val="superscript"/>
        <sz val="8"/>
        <color rgb="FF000000"/>
        <rFont val="Arial"/>
        <family val="2"/>
      </rPr>
      <t>1</t>
    </r>
  </si>
  <si>
    <t>Production Quantity in 1000 pieces</t>
  </si>
  <si>
    <t xml:space="preserve">Cut flowers, foliage and branches </t>
  </si>
  <si>
    <r>
      <rPr>
        <vertAlign val="superscript"/>
        <sz val="7"/>
        <color theme="1"/>
        <rFont val="Calibri"/>
        <family val="2"/>
        <scheme val="minor"/>
      </rPr>
      <t>1</t>
    </r>
    <r>
      <rPr>
        <sz val="7"/>
        <color theme="1"/>
        <rFont val="Calibri"/>
        <family val="2"/>
        <scheme val="minor"/>
      </rPr>
      <t xml:space="preserve"> Data of 2021 were collected according to different statistic system from previous years,only total area of nursery stock and flowers for food and industry were collected; Data of 2022 and 2023  were collected according to new statistic system.</t>
    </r>
  </si>
  <si>
    <t>Source: China Flower Association, 2024 p=provisional; r=revised</t>
  </si>
  <si>
    <t>Sales volume in 1000 RMB</t>
  </si>
  <si>
    <r>
      <t xml:space="preserve">2021 </t>
    </r>
    <r>
      <rPr>
        <b/>
        <vertAlign val="superscript"/>
        <sz val="8"/>
        <color theme="1"/>
        <rFont val="Arial"/>
        <family val="2"/>
      </rPr>
      <t>2</t>
    </r>
  </si>
  <si>
    <r>
      <t>2020r</t>
    </r>
    <r>
      <rPr>
        <b/>
        <vertAlign val="superscript"/>
        <sz val="8"/>
        <color theme="1"/>
        <rFont val="Arial"/>
        <family val="2"/>
      </rPr>
      <t xml:space="preserve"> 2</t>
    </r>
  </si>
  <si>
    <r>
      <t xml:space="preserve">2019r </t>
    </r>
    <r>
      <rPr>
        <b/>
        <vertAlign val="superscript"/>
        <sz val="8"/>
        <color theme="1"/>
        <rFont val="Arial"/>
        <family val="2"/>
      </rPr>
      <t>2</t>
    </r>
  </si>
  <si>
    <r>
      <t xml:space="preserve">2018 </t>
    </r>
    <r>
      <rPr>
        <b/>
        <vertAlign val="superscript"/>
        <sz val="8"/>
        <color theme="1"/>
        <rFont val="Arial"/>
        <family val="2"/>
      </rPr>
      <t>2</t>
    </r>
  </si>
  <si>
    <r>
      <t xml:space="preserve">2013 </t>
    </r>
    <r>
      <rPr>
        <b/>
        <vertAlign val="superscript"/>
        <sz val="8"/>
        <color theme="1"/>
        <rFont val="Arial"/>
        <family val="2"/>
      </rPr>
      <t>2</t>
    </r>
  </si>
  <si>
    <r>
      <rPr>
        <vertAlign val="superscript"/>
        <sz val="7"/>
        <color theme="1"/>
        <rFont val="Calibri"/>
        <family val="2"/>
        <scheme val="minor"/>
      </rPr>
      <t>2</t>
    </r>
    <r>
      <rPr>
        <sz val="7"/>
        <color theme="1"/>
        <rFont val="Calibri"/>
        <family val="2"/>
        <scheme val="minor"/>
      </rPr>
      <t xml:space="preserve">  the total area includes flowers for medicine or food and flowers for industry or other use</t>
    </r>
  </si>
  <si>
    <r>
      <t xml:space="preserve">Total </t>
    </r>
    <r>
      <rPr>
        <b/>
        <vertAlign val="superscript"/>
        <sz val="8"/>
        <color rgb="FF000000"/>
        <rFont val="Arial"/>
        <family val="2"/>
      </rPr>
      <t>2</t>
    </r>
  </si>
  <si>
    <t xml:space="preserve">Total area </t>
  </si>
  <si>
    <t>Sales volume in million EUR</t>
  </si>
  <si>
    <r>
      <rPr>
        <vertAlign val="superscript"/>
        <sz val="7"/>
        <color theme="1"/>
        <rFont val="Calibri"/>
        <family val="2"/>
        <scheme val="minor"/>
      </rPr>
      <t>2</t>
    </r>
    <r>
      <rPr>
        <sz val="7"/>
        <color theme="1"/>
        <rFont val="Calibri"/>
        <family val="2"/>
        <scheme val="minor"/>
      </rPr>
      <t xml:space="preserve">  the total sales volume in 1000 RMB and EUR includes flowers for medicine or food and flowers for industry or other use</t>
    </r>
  </si>
  <si>
    <t>2023/2024</t>
  </si>
  <si>
    <t>Source: Horticulture Innovation Australia Limited, Australian Horticulture Statistics Handbook, 2023/2024</t>
  </si>
  <si>
    <t>Source: Statistik Austria , Anbau auf dem Ackerland 2024</t>
  </si>
  <si>
    <t>Source: Statistics Canada Table 32-10-00-19-01 Estimates of specialized greenhouse operations, greenhouse area and months of operation, 2025</t>
  </si>
  <si>
    <t>13 279</t>
  </si>
  <si>
    <t>1 931</t>
  </si>
  <si>
    <t>Source: Statistics Canada Table 32-10-0029-01 Estimates of nursery area, 2025</t>
  </si>
  <si>
    <t>Source: Statistics Canada Table: 32-10-0452-01 Estimates of field-grown cut flowers area, production and sales, 2025</t>
  </si>
  <si>
    <t>Source: Statistics Canada, Table 32-10-0021-01 Production of potted plants, cut flowers, cuttings, by variety and tree seedlings, 2025</t>
  </si>
  <si>
    <t>Source: Statistics Canada, Table 32-10-0031-01 Nursery tree and plant production, 2025</t>
  </si>
  <si>
    <t>Other outdoor potted plants</t>
  </si>
  <si>
    <t>Canada: Sales of greenhouse flowers, plants and nursery stock 2024</t>
  </si>
  <si>
    <t>Source: Statistics Canada Table 32-10-0032-01  Nursery stock sales and resales, 2025</t>
  </si>
  <si>
    <t>Source: Statistics Canada, Table 32-10-0246-01  Production and sale of greenhouse flowers, and plants, 2025</t>
  </si>
  <si>
    <t>Sales of greenhouse flowers, plants and nursery stock 2015 -2024</t>
  </si>
  <si>
    <t>Source: Statistics Canada, Table 32-10-033-01 Channels of distribution of nursery product sales and resales, 2025</t>
  </si>
  <si>
    <t>Distribution of production area in 2024</t>
  </si>
  <si>
    <t>Source: Statistics Canada, Table 32-10-0029-01 Estimates of nursery area, CANSIM (database), 2025</t>
  </si>
  <si>
    <t>Source:  ITC Trade map, 2025</t>
  </si>
  <si>
    <t>Source: ITC Trade map, 2025</t>
  </si>
  <si>
    <t>Source: ITC Trade Map, 2025</t>
  </si>
  <si>
    <r>
      <t>2024</t>
    </r>
    <r>
      <rPr>
        <b/>
        <vertAlign val="superscript"/>
        <sz val="8"/>
        <color rgb="FF000000"/>
        <rFont val="Arial"/>
        <family val="2"/>
      </rPr>
      <t xml:space="preserve"> 1</t>
    </r>
  </si>
  <si>
    <r>
      <rPr>
        <vertAlign val="superscript"/>
        <sz val="7"/>
        <color theme="1"/>
        <rFont val="Calibri"/>
        <family val="2"/>
        <scheme val="minor"/>
      </rPr>
      <t>1</t>
    </r>
    <r>
      <rPr>
        <sz val="7"/>
        <color theme="1"/>
        <rFont val="Calibri"/>
        <family val="2"/>
        <scheme val="minor"/>
      </rPr>
      <t xml:space="preserve"> Source: ITC Trade map, 2025</t>
    </r>
  </si>
  <si>
    <r>
      <t xml:space="preserve">2024 </t>
    </r>
    <r>
      <rPr>
        <b/>
        <vertAlign val="superscript"/>
        <sz val="8"/>
        <color rgb="FF000000"/>
        <rFont val="Arial"/>
        <family val="2"/>
      </rPr>
      <t>1</t>
    </r>
  </si>
  <si>
    <r>
      <rPr>
        <vertAlign val="superscript"/>
        <sz val="7"/>
        <color theme="1"/>
        <rFont val="Calibri"/>
        <family val="2"/>
        <scheme val="minor"/>
      </rPr>
      <t xml:space="preserve">1 </t>
    </r>
    <r>
      <rPr>
        <sz val="7"/>
        <color theme="1"/>
        <rFont val="Calibri"/>
        <family val="2"/>
        <scheme val="minor"/>
      </rPr>
      <t>Source: ITC Trade map, 2025</t>
    </r>
  </si>
  <si>
    <t>Source: Turkish Statistical Institute: Crop Production Statistics, Ministry of Food, Agriculture and Livestock, 2025</t>
  </si>
  <si>
    <t>Perennials, trees and shrubs</t>
  </si>
  <si>
    <r>
      <rPr>
        <vertAlign val="superscript"/>
        <sz val="7"/>
        <rFont val="Calibri"/>
        <family val="2"/>
        <scheme val="minor"/>
      </rPr>
      <t>1</t>
    </r>
    <r>
      <rPr>
        <sz val="7"/>
        <rFont val="Calibri"/>
        <family val="2"/>
        <scheme val="minor"/>
      </rPr>
      <t xml:space="preserve"> Source: Horticulture Innovation Australia Limited, Australian Horticulture Statistics Handbook, 2023/2024</t>
    </r>
  </si>
  <si>
    <r>
      <t xml:space="preserve">2023/24 </t>
    </r>
    <r>
      <rPr>
        <b/>
        <vertAlign val="superscript"/>
        <sz val="8"/>
        <color theme="1"/>
        <rFont val="Arial"/>
        <family val="2"/>
      </rPr>
      <t>1</t>
    </r>
  </si>
  <si>
    <r>
      <t xml:space="preserve">2016 </t>
    </r>
    <r>
      <rPr>
        <b/>
        <vertAlign val="superscript"/>
        <sz val="8"/>
        <color theme="1"/>
        <rFont val="Arial"/>
        <family val="2"/>
      </rPr>
      <t>1</t>
    </r>
  </si>
  <si>
    <r>
      <t xml:space="preserve">2023 </t>
    </r>
    <r>
      <rPr>
        <b/>
        <vertAlign val="superscript"/>
        <sz val="8"/>
        <color theme="1"/>
        <rFont val="Arial"/>
        <family val="2"/>
      </rPr>
      <t>2</t>
    </r>
  </si>
  <si>
    <r>
      <rPr>
        <vertAlign val="superscript"/>
        <sz val="7"/>
        <color theme="1"/>
        <rFont val="Calibri"/>
        <family val="2"/>
        <scheme val="minor"/>
      </rPr>
      <t>2</t>
    </r>
    <r>
      <rPr>
        <sz val="7"/>
        <color theme="1"/>
        <rFont val="Calibri"/>
        <family val="2"/>
        <scheme val="minor"/>
      </rPr>
      <t xml:space="preserve"> Source: Statistical Overview of the Canadian Ornamental Industry 2023, August 2024 </t>
    </r>
  </si>
  <si>
    <t>Source: Ministry of Agriculture, Republic of China (Taiwan), Yearly Report of Taiwans Agriculture 2023</t>
  </si>
  <si>
    <t>14 391</t>
  </si>
  <si>
    <t xml:space="preserve">Total: 1958 ha </t>
  </si>
  <si>
    <t xml:space="preserve">Total: 20752 ha </t>
  </si>
  <si>
    <r>
      <rPr>
        <vertAlign val="superscript"/>
        <sz val="7"/>
        <color theme="1"/>
        <rFont val="Arial"/>
        <family val="2"/>
      </rPr>
      <t xml:space="preserve">1 </t>
    </r>
    <r>
      <rPr>
        <sz val="7"/>
        <color theme="1"/>
        <rFont val="Arial"/>
        <family val="2"/>
      </rPr>
      <t>Includes all farms producing floricultural products, nursery plants or christmas trees, in 2016 without operations producing tree seedlings for reforestation</t>
    </r>
  </si>
  <si>
    <t>Source: Instituto Nacional de Estadistica y Censos (INEC) ESPAC - Resumen 2024, Tabulados, T9</t>
  </si>
  <si>
    <t>Source: LUKE, Horticultural Statistics, 2025</t>
  </si>
  <si>
    <t>Source: Luke, Horticultural Statistics, 2025</t>
  </si>
  <si>
    <t>Source: Agreste, Statistique Agricole Annuelle 2024</t>
  </si>
  <si>
    <t>Source: FranceAgriMer 2025, Observatoire des données structurelles des entreprises de l’horticulture et de la pépinière ornementales, Données 2021</t>
  </si>
  <si>
    <t>Source: FranceAgriMer 2025, Observatoire des données structurelles des entreprises de l’horticulture et de la pépinière ornementales, Données 2023</t>
  </si>
  <si>
    <t>Flowers and plants 2023</t>
  </si>
  <si>
    <t>France:  Value of sales by plant category 2023</t>
  </si>
  <si>
    <t>Value of sales by region 2023</t>
  </si>
  <si>
    <t>Source: Asocolflores, Carolina Pantoja, ICA 2025</t>
  </si>
  <si>
    <t>Total: 14500 ha (2024)</t>
  </si>
  <si>
    <t>Source: Ascolflores, ICA, 2025</t>
  </si>
  <si>
    <t>Source: Agexport, Plantas ornamentales follajes y flores, 2025</t>
  </si>
  <si>
    <t>Source: Statisistics Bureau, Ministry of Internal Affairs and Communication, Japan Statistical Yearbook 2025, Chapter 8, Table 8-13</t>
  </si>
  <si>
    <t>Source: Statistics Bureau, Ministry of Internal Affairs and Communication, Japan Statistical Yearbook 2025 , Chapter 8, Table 8-9</t>
  </si>
  <si>
    <t>Source: Statistics Department, Ministry of Agriculture, Forestry and  Fisheries, Statistical Yearbook, Number 98,  2021/22</t>
  </si>
  <si>
    <t>Source: "Statistics on Production and Shipment of Flowers" by the Statistics Department of MAFF in Statistics Department, Ministry of Agriculture, Forestry and  Fisheries, Statistical Yearbook, Number 98,  2022/23</t>
  </si>
  <si>
    <t>13 Marketing of Agricultural, Forestry and Fishery Products; Marketing Quantity and Price of Vegetables, Fruits and Flowers , table n640_641 and table n642_643</t>
  </si>
  <si>
    <t>13 Marketing of Agricultural, Forestry and Fishery Products; Marketing Quantity and Price of Vegetables, Fruits and Flowers,  table n644_645</t>
  </si>
  <si>
    <t>Source: Perangkaan Agromakanan, Ministry of agriculture and food industry, Malaysia, 2025</t>
  </si>
  <si>
    <t>Total Production (Cuts, Pots, Plants)</t>
  </si>
  <si>
    <t>Landwirtschaftliche Produktion | Generaldirektion Informationsdienst Agrar- und Ernährungswirtschaft und Fischerei | Behörden | gob.mx</t>
  </si>
  <si>
    <t>Source: Centraal Bureau voor de Statistiek (CBS), 2025</t>
  </si>
  <si>
    <r>
      <t xml:space="preserve">2024/25 </t>
    </r>
    <r>
      <rPr>
        <b/>
        <vertAlign val="superscript"/>
        <sz val="8"/>
        <color theme="1"/>
        <rFont val="Arial"/>
        <family val="2"/>
      </rPr>
      <t>1</t>
    </r>
  </si>
  <si>
    <r>
      <t xml:space="preserve">2023/24 </t>
    </r>
    <r>
      <rPr>
        <b/>
        <vertAlign val="superscript"/>
        <sz val="8"/>
        <color theme="1"/>
        <rFont val="Arial"/>
        <family val="2"/>
      </rPr>
      <t>2</t>
    </r>
  </si>
  <si>
    <t xml:space="preserve">2022/23 </t>
  </si>
  <si>
    <t>Source: Bloembollenkeuringsdienst (BKD), 2025</t>
  </si>
  <si>
    <r>
      <t xml:space="preserve">2024 </t>
    </r>
    <r>
      <rPr>
        <b/>
        <vertAlign val="superscript"/>
        <sz val="8"/>
        <color theme="1"/>
        <rFont val="Arial"/>
        <family val="2"/>
      </rPr>
      <t>1</t>
    </r>
  </si>
  <si>
    <t>Source: Gov.UK: Agricultural land use in England at 1 June 2024 - England</t>
  </si>
  <si>
    <t>Source: Korean Statistical Information Service (KOSIS),Statistical Database, 2025</t>
  </si>
  <si>
    <r>
      <rPr>
        <vertAlign val="superscript"/>
        <sz val="7"/>
        <rFont val="Calibri"/>
        <family val="2"/>
        <scheme val="minor"/>
      </rPr>
      <t>1</t>
    </r>
    <r>
      <rPr>
        <sz val="7"/>
        <rFont val="Calibri"/>
        <family val="2"/>
        <scheme val="minor"/>
      </rPr>
      <t xml:space="preserve"> Source: Korean Statistical Information Service (KOSIS),Statistical Database, 2025</t>
    </r>
  </si>
  <si>
    <t>Exports from Denmark in 2024 by value in 1 000 EUR</t>
  </si>
  <si>
    <t>Flowering Plants (indoor) (103 806) / Green/foliage plants (indoor) (68 942) / Cuttings with roots and young plants (indoor) (32 443)</t>
  </si>
  <si>
    <t>other cuttings and slips (4 952)</t>
  </si>
  <si>
    <t>Christmas trees (143 574) / Cut foliage, branches etc., fresh (9 560) / Mosses and lichens, fresh (1 770)</t>
  </si>
  <si>
    <t>Cut Foliage, branches etc., only dried (2 672) / Reindeer moss, treated (1 166)</t>
  </si>
  <si>
    <t>Bulbs etc. in growth or flower (8 980) / Orchids, hyacinth etc. in growth and flower (5 858)</t>
  </si>
  <si>
    <t>other  bulbs etc., dormant ( 87) / Tulip, dormant ( 7) / Hyachinths, dormant ( 1)</t>
  </si>
  <si>
    <t>Cutflowers, fresh, different species (3 643) / Roses, fresh cut ( 443) / Chrysanthemums, fresh cut ( 22)</t>
  </si>
  <si>
    <t>Cutflowers, treated (2 217)</t>
  </si>
  <si>
    <t>Imports to Denmark in 2024 by value in 1 000 EUR</t>
  </si>
  <si>
    <t>Top Ten Countries Exporting to Denmark in 2024 by value in 1 000 EUR</t>
  </si>
  <si>
    <t>Top Ten Countries Importing from Denmark in 2024 by value in 1 000 EUR</t>
  </si>
  <si>
    <t>other ornamental plants (outdoor) (44 422) / Flowering Plants (indoor) (39 950) / Trees, shrubs and bushes (outdoor) (29 942)</t>
  </si>
  <si>
    <t>other cuttings and slips (9 917)</t>
  </si>
  <si>
    <t>Cutflowers, fresh, different species (65 152) / Roses, fresh cut (17 172) / Chrysanthemums, fresh cut (2 911)</t>
  </si>
  <si>
    <t>Cutflowers, treated (18 898)</t>
  </si>
  <si>
    <t>Orchids, hyacinth etc. in growth and flower (10 949) / Bulbs etc. in growth or flower (2 265)</t>
  </si>
  <si>
    <t>other  bulbs etc., dormant (4 087) / Tulip, dormant (3 334) / Hyachinths, dormant (1 506)</t>
  </si>
  <si>
    <t>Cut foliage, branches etc., fresh (9 448) / Christmas trees (5 267) / Mosses and lichens, fresh ( 269)</t>
  </si>
  <si>
    <t>Cut Foliage, branches etc., only dried (2 302) / Reindeer moss, treated ( 506)</t>
  </si>
  <si>
    <t>Other fresh cut flowers (62 672) / Flowering pot plants (25 874) / Other live plants (22 228)</t>
  </si>
  <si>
    <t>Other live plants (12 315) / Cuttings and young plants (7 447) / Ornamental nursery stocks (5 671)</t>
  </si>
  <si>
    <t>Other live plants (3 681) / Flowering pot plants (2 653) / Ornamental nursery stocks (2 448)</t>
  </si>
  <si>
    <t>Cuttings and young plants (4 227) / Christmas trees (2 907) / Other live plants (1 218)</t>
  </si>
  <si>
    <t>Ornamental nursery stocks (2 260) / Cuttings and young plants (1 813) / Other live plants (1 073)</t>
  </si>
  <si>
    <t>Other live plants (2 641) / Ornamental nursery stocks (1 219) / Fruit trees and shrubs ( 649)</t>
  </si>
  <si>
    <t>Flowering pot plants (4 925) / Cuttings and young plants ( 166) / Ornamental nursery stocks ( 61)</t>
  </si>
  <si>
    <t>Other fresh cut flowers (1 013) / Foliage plants ( 690) / Flowering pot plants ( 603)</t>
  </si>
  <si>
    <t>Cuttings and young plants (1 249) / Foliage plants ( 351) / Flowering pot plants ( 76)</t>
  </si>
  <si>
    <t>Cuttings and young plants (1 170) / Treated foliage ( 317) / Foliage plants ( 130)</t>
  </si>
  <si>
    <t>Christmas trees (56 448) / Flowering pot plants (33 143) / Foliage plants (17 710)</t>
  </si>
  <si>
    <t>Flowering pot plants (27 795) / Foliage plants (14 033) / Other live plants (9 327)</t>
  </si>
  <si>
    <t>Christmas trees (18 904) / Flowering pot plants (15 190) / Cuttings and young plants (10 672)</t>
  </si>
  <si>
    <t>Other live plants (5 381) / Flowering pot plants (4 620) / Ornamental nursery stocks (3 441)</t>
  </si>
  <si>
    <t>Christmas trees (8 920) / Foliage plants (5 953) / Flowering pot plants (4 493)</t>
  </si>
  <si>
    <t>Christmas trees (9 967) / Foliage plants (4 415) / Flowering pot plants (3 498)</t>
  </si>
  <si>
    <t>Christmas trees (13 405) / Foliage plants (2 487) / Ornamental nursery stocks (2 471)</t>
  </si>
  <si>
    <t>Flowering pot plants (5 961) / Cuttings and young plants (2 326) / Foliage plants (1 642)</t>
  </si>
  <si>
    <t>Christmas trees (5 219) / Flowering pot plants (2 050) / Foliage plants (1 344)</t>
  </si>
  <si>
    <t>Christmas trees (6 141) / Foliage plants (1 057) / Flowering pot plants ( 890)</t>
  </si>
  <si>
    <t>Exports from France in 2024 by value in 1 000 EUR</t>
  </si>
  <si>
    <t>Imports to France in 2024 by value in 1 000 EUR</t>
  </si>
  <si>
    <t>Top Ten Countries Exporting to France in 2024 by value in 1 000 EUR</t>
  </si>
  <si>
    <t>Top Ten Countries Importing from France in 2024 by value in 1 000 EUR</t>
  </si>
  <si>
    <t>Other fresh cut flowers (126 821) / Roses (104 244) / Flowering pot plants (81 909)</t>
  </si>
  <si>
    <t>Other live plants (31 346) / Foliage plants (27 118) / Flowering pot plants (21 933)</t>
  </si>
  <si>
    <t>Ornamental nursery stocks (37 068) / Other live plants (17 280) / Flowering pot plants (9 357)</t>
  </si>
  <si>
    <t>Other live plants (29 134) / Flowering pot plants (13 040) / Ornamental nursery stocks (10 187)</t>
  </si>
  <si>
    <t>Other live plants (19 768) / Cuttings and young plants (4 393) / Flowering pot plants (3 905)</t>
  </si>
  <si>
    <t>Christmas trees (8 945) / Flowering pot plants (3 180) / Foliage plants (3 108)</t>
  </si>
  <si>
    <t>Roses (2 686) / Cuttings and young plants (1 429) / Other fresh cut flowers ( 460)</t>
  </si>
  <si>
    <t>Treated cut flowers (1 572) / Treated foliage ( 942) / Flowering pot plants ( 169)</t>
  </si>
  <si>
    <t>Cuttings and young plants ( 764) / Other live plants ( 725) / Flowering pot plants ( 650)</t>
  </si>
  <si>
    <t>Mosses and lichens (2 298) / Treated foliage ( 175)</t>
  </si>
  <si>
    <t>Other fresh cut flowers (7 923) / Foliage, fresh (4 071) / Other live plants (3 030)</t>
  </si>
  <si>
    <t>Cuttings and young plants (4 681) / Fruit trees and shrubs (4 309) / Other fresh cut flowers (2 394)</t>
  </si>
  <si>
    <t>Other live plants (6 230) / Ornamental nursery stocks (3 096) / Fruit trees and shrubs (1 809)</t>
  </si>
  <si>
    <t>Cuttings and young plants (4 330) / Fruit trees and shrubs (3 073) / Other live plants (1 087)</t>
  </si>
  <si>
    <t>Ornamental nursery stocks (2 511) / Other live plants (1 431) / Foliage plants ( 976)</t>
  </si>
  <si>
    <t>Other live plants (2 579) / Cuttings and young plants (1 303) / Other fresh cut flowers ( 734)</t>
  </si>
  <si>
    <t>Fruit trees and shrubs (5 421) / Other live plants ( 793) / Foliage plants ( 94)</t>
  </si>
  <si>
    <t>Cuttings and young plants (1 415) / Fruit trees and shrubs (1 259) / Other live plants ( 990)</t>
  </si>
  <si>
    <t>Fruit trees and shrubs ( 531) / Other live plants ( 479) / Cuttings and young plants ( 325)</t>
  </si>
  <si>
    <t>Fruit trees and shrubs (1 287) / Foliage plants ( 28) / Mosses and lichens ( 27)</t>
  </si>
  <si>
    <t>other ornamental plants (outdoor) (20 962) / Cuttings with roots and young plants (outdoor) (18 342) / Trees, shrubs and bushes (outdoor) (7 149)</t>
  </si>
  <si>
    <t>other cuttings and slips (23 375)</t>
  </si>
  <si>
    <t>Cutflowers, fresh, different species (14 403) / Roses, fresh cut (1 650) / Gladioli, fresh cut (1 444)</t>
  </si>
  <si>
    <t>Cutflowers, treated (3 899)</t>
  </si>
  <si>
    <t>Cut foliage, branches etc., fresh (4 845) / Christmas trees (1 280) / Mosses and lichens, fresh ( 41)</t>
  </si>
  <si>
    <t>Cut Foliage, branches etc., only dried (4 018) / Reindeer moss, treated (1 441)</t>
  </si>
  <si>
    <t>other  bulbs etc., dormant (4 746) / Hyachinths, dormant ( 992) / Tulip, dormant ( 14)</t>
  </si>
  <si>
    <t>Orchids, hyacinth etc. in growth and flower ( 418) / Bulbs etc. in growth or flower ( 309)</t>
  </si>
  <si>
    <t>other ornamental plants (outdoor) (161 093) / Flowering Plants (indoor) (134 188) / Green/foliage plants (indoor) (121 591)</t>
  </si>
  <si>
    <t>Fruit trees, shrubs and bushes (26 939)</t>
  </si>
  <si>
    <t>Cutflowers, fresh, different species (138 618) / Roses, fresh cut (112 580) / Chrysanthemums, fresh cut (14 447)</t>
  </si>
  <si>
    <t>Cutflowers, treated (53 510)</t>
  </si>
  <si>
    <t>Orchids, hyacinth etc. in growth and flower (60 783) / Bulbs etc. in growth or flower (16 146)</t>
  </si>
  <si>
    <t>other  bulbs etc., dormant (16 434) / Tulip, dormant (4 466) / Hyachinths, dormant (1 851)</t>
  </si>
  <si>
    <t>Cut foliage, branches etc., fresh (26 769) / Christmas trees (15 941) / Mosses and lichens, fresh ( 604)</t>
  </si>
  <si>
    <t>Cut Foliage, branches etc., only dried (14 019) / Reindeer moss, treated (3 358)</t>
  </si>
  <si>
    <t>Exports from Germany in 2024 by value in 1 000 EUR</t>
  </si>
  <si>
    <t>Imports to Germany in 2024 by value in 1 000 EUR</t>
  </si>
  <si>
    <t>Top Ten Countries Exporting to Germany in 2024 by value in 1 000 EUR</t>
  </si>
  <si>
    <t>Macedonia</t>
  </si>
  <si>
    <t>Top Ten Countries Importing from Germany in 2024 by value in 1 000 EUR</t>
  </si>
  <si>
    <t>Other fresh cut flowers (704 444) / Flowering pot plants (285 494) / Other live plants (271 969)</t>
  </si>
  <si>
    <t>Other live plants (43 030) / Ornamental nursery stocks (19 368) / Other fresh cut flowers (10 891)</t>
  </si>
  <si>
    <t>Flowering pot plants (30 582) / Christmas trees (19 404) / Foliage plants (17 072)</t>
  </si>
  <si>
    <t>Other live plants (14 567) / Cuttings and young plants (4 551) / Foliage plants (3 734)</t>
  </si>
  <si>
    <t>Roses (20 049) / Cuttings and young plants (9 041) / Other fresh cut flowers (2 049)</t>
  </si>
  <si>
    <t>Other live plants (7 215) / Other fresh cut flowers (5 323) / Foliage plants (4 906)</t>
  </si>
  <si>
    <t>Christmas trees (5 041) / Cuttings and young plants (3 670) / Foliage, fresh (3 077)</t>
  </si>
  <si>
    <t>Cuttings and young plants (7 495) / Treated foliage (3 905) / Treated cut flowers (1 215)</t>
  </si>
  <si>
    <t>Cuttings and young plants (3 519) / Other live plants (2 514) / Treated foliage ( 824)</t>
  </si>
  <si>
    <t>Cuttings and young plants (7 971) / Flowering pot plants ( 188)</t>
  </si>
  <si>
    <t>Other live plants (66 975) / Cuttings and young plants (58 758) / Flowering pot plants (24 487)</t>
  </si>
  <si>
    <t>Other live plants (40 742) / Flowering pot plants (15 394) / Foliage plants (14 946)</t>
  </si>
  <si>
    <t>Ornamental nursery stocks (24 360) / Other live plants (22 581) / Foliage plants (5 410)</t>
  </si>
  <si>
    <t>Other live plants (19 105) / Ornamental nursery stocks (7 887) / Flowering pot plants (6 734)</t>
  </si>
  <si>
    <t>Ornamental nursery stocks (12 299) / Other live plants (12 073) / Cuttings and young plants (4 487)</t>
  </si>
  <si>
    <t>Other live plants (8 049) / Ornamental nursery stocks (6 954) / Flowering pot plants (6 672)</t>
  </si>
  <si>
    <t>Other live plants (11 168) / Flowering pot plants (3 986) / Other fresh cut flowers (3 354)</t>
  </si>
  <si>
    <t>Other live plants (13 922) / Ornamental nursery stocks (4 210) / Flowering pot plants (3 711)</t>
  </si>
  <si>
    <t>Other live plants (7 924) / Ornamental nursery stocks (6 524) / Forest plants (2 614)</t>
  </si>
  <si>
    <t>Ornamental nursery stocks (7 881) / Other live plants (3 760) / Christmas trees (1 354)</t>
  </si>
  <si>
    <t>other ornamental plants (outdoor) (241 578) / Trees, shrubs and bushes (outdoor) (128 649) / Flowering Plants (indoor) (86 091)</t>
  </si>
  <si>
    <t>other cuttings and slips (15 109)</t>
  </si>
  <si>
    <t>Cutflowers, fresh, different species (23 239) / Roses, fresh cut (15 566) / Chrysanthemums, fresh cut (2 489)</t>
  </si>
  <si>
    <t>Cutflowers, treated (2 986)</t>
  </si>
  <si>
    <t>Orchids, hyacinth etc. in growth and flower (27 230) / Bulbs etc. in growth or flower (11 575)</t>
  </si>
  <si>
    <t>other  bulbs etc., dormant (4 911) / Tulip, dormant (1 458) / Gladioli, dormant ( 493)</t>
  </si>
  <si>
    <t>Christmas trees (15 622) / Cut foliage, branches etc., fresh (14 520) / Mosses and lichens, fresh ( 107)</t>
  </si>
  <si>
    <t>Cut Foliage, branches etc., only dried (5 038) / Reindeer moss, treated (1 501)</t>
  </si>
  <si>
    <t>other ornamental plants (outdoor) (359 859) / Flowering Plants (indoor) (332 313) / Green/foliage plants (indoor) (300 046)</t>
  </si>
  <si>
    <t>other cuttings and slips (44 753)</t>
  </si>
  <si>
    <t>Cutflowers, fresh, different species (727 302) / Roses, fresh cut (296 209) / Chrysanthemums, fresh cut (64 066)</t>
  </si>
  <si>
    <t>Cutflowers, treated (34 831)</t>
  </si>
  <si>
    <t>Orchids, hyacinth etc. in growth and flower (83 442) / Bulbs etc. in growth or flower (36 877)</t>
  </si>
  <si>
    <t>other  bulbs etc., dormant (24 168) / Tulip, dormant (10 111) / Narcissi, dormant (4 212)</t>
  </si>
  <si>
    <t>Cut foliage, branches etc., fresh (61 839) / Christmas trees (33 038) / Mosses and lichens, fresh ( 535)</t>
  </si>
  <si>
    <t>Cut Foliage, branches etc., only dried (26 429) / Reindeer moss, treated (2 236)</t>
  </si>
  <si>
    <t>Exports from Italy in 2024 by value in 1 000 EUR</t>
  </si>
  <si>
    <t>Imports to Italy in 2024 by value in 1 000 EUR</t>
  </si>
  <si>
    <t>Top Ten Countries Exporting to Italy in 2024 by value in 1 000 EUR</t>
  </si>
  <si>
    <t>Top Ten Countries Importing from Italy in 2024 by value in 1 000 EUR</t>
  </si>
  <si>
    <t>Roses (101 829) / Other fresh cut flowers (94 873) / Flowering pot plants (94 026)</t>
  </si>
  <si>
    <t>Fruit trees and shrubs (15 528) / Ornamental nursery stocks (10 127) / Other live plants (6 393)</t>
  </si>
  <si>
    <t>Cuttings and young plants (16 336) / Cuttings and young plants (6 522) / Fruit trees and shrubs (3 416)</t>
  </si>
  <si>
    <t>Ornamental nursery stocks (15 314) / Other live plants (8 709) / Cuttings and young plants (4 028)</t>
  </si>
  <si>
    <t>Azaleas (8 029) / Ornamental nursery stocks (6 291) / Cuttings and young plants (2 294)</t>
  </si>
  <si>
    <t>Cuttings and young plants (15 356) / Fruit trees and shrubs ( 795) / Fruit trees and shrubs ( 543)</t>
  </si>
  <si>
    <t>Fruit trees and shrubs (16 868) / Fruit trees and shrubs ( 90) / Ornamental nursery stocks ( 73)</t>
  </si>
  <si>
    <t>Orchids (4 885) / Foliage plants ( 186) / Cuttings and young plants ( 117)</t>
  </si>
  <si>
    <t>Christmas trees (1 249) / Flowering pot plants (1 201) / Foliage plants ( 423)</t>
  </si>
  <si>
    <t>Foliage plants (1 829) / Other live plants ( 835) / Treated foliage ( 642)</t>
  </si>
  <si>
    <t>Ornamental nursery stocks (105 061) / Other live plants (34 397) / Flowering pot plants (12 738)</t>
  </si>
  <si>
    <t>Foliage, fresh (62 075) / Ornamental nursery stocks (27 585) / Other fresh cut flowers (18 242)</t>
  </si>
  <si>
    <t>Ornamental nursery stocks (38 815) / Other live plants (36 392) / Foliage, fresh (25 677)</t>
  </si>
  <si>
    <t>Other live plants (16 360) / Ornamental nursery stocks (12 696) / Other fresh cut flowers (9 820)</t>
  </si>
  <si>
    <t>Ornamental nursery stocks (27 694) / Other live plants (5 406) / Foliage plants (2 279)</t>
  </si>
  <si>
    <t>Ornamental nursery stocks (15 192) / Flowering pot plants (4 173) / Other live plants (4 031)</t>
  </si>
  <si>
    <t>Ornamental nursery stocks (10 802) / Other live plants (5 791) / Foliage, fresh (4 137)</t>
  </si>
  <si>
    <t>Ornamental nursery stocks (13 321) / Fruit trees and shrubs (7 848) / Cuttings and young plants (3 817)</t>
  </si>
  <si>
    <t>Ornamental nursery stocks (13 351) / Cuttings and young plants (3 795) / Other live plants (2 364)</t>
  </si>
  <si>
    <t>Ornamental nursery stocks (10 611) / Foliage, fresh (2 198) / Fruit trees and shrubs (1 477)</t>
  </si>
  <si>
    <t>Trees, shrubs and bushes (outdoor) (353 843) / other ornamental plants (outdoor) (144 379) / Flowering Plants (indoor) (52 456)</t>
  </si>
  <si>
    <t>Fruit trees, shrubs and bushes (105 363)</t>
  </si>
  <si>
    <t>Cut foliage, branches etc., fresh (132 014) / Mosses and lichens, fresh (9 476) / Christmas trees ( 66)</t>
  </si>
  <si>
    <t>Cut Foliage, branches etc., only dried (20 290) / Reindeer moss, treated (3 249)</t>
  </si>
  <si>
    <t>Cutflowers, fresh, different species (66 534) / Ranunculi, fresh cut (23 606) / Carnations, fresh cut (7 673)</t>
  </si>
  <si>
    <t>Cutflowers, treated (26 096)</t>
  </si>
  <si>
    <t>other  bulbs etc., dormant (10 123) / Tulip, dormant ( 57) / Gladioli, dormant ( 6)</t>
  </si>
  <si>
    <t>Bulbs etc. in growth or flower (5 922) / Orchids, hyacinth etc. in growth and flower (1 996)</t>
  </si>
  <si>
    <t>Flowering Plants (indoor) (97 647) / Green/foliage plants (indoor) (60 064) / Trees, shrubs and bushes (outdoor) (54 343)</t>
  </si>
  <si>
    <t>other cuttings and slips (70 457)</t>
  </si>
  <si>
    <t>Roses, fresh cut (107 200) / Cutflowers, fresh, different species (99 790) / Orchids, fresh  cut (10 606)</t>
  </si>
  <si>
    <t>Cutflowers, treated (12 155)</t>
  </si>
  <si>
    <t>Orchids, hyacinth etc. in growth and flower (37 050) / Bulbs etc. in growth or flower (6 195)</t>
  </si>
  <si>
    <t>other  bulbs etc., dormant (25 917) / Tulip, dormant (5 903) / Narcissi, dormant ( 295)</t>
  </si>
  <si>
    <t>Cut foliage, branches etc., fresh (18 169) / Christmas trees (3 003) / Mosses and lichens, fresh ( 243)</t>
  </si>
  <si>
    <t>Cut Foliage, branches etc., only dried (3 666) / Reindeer moss, treated ( 249)</t>
  </si>
  <si>
    <t>Exports from Netherlands in 2024 by value in 1 000 EUR</t>
  </si>
  <si>
    <t>Imports to Netherlands in 2024 by value in 1 000 EUR</t>
  </si>
  <si>
    <t>Top Ten Countries Exporting to Netherlands in 2024 by value in 1 000 EUR</t>
  </si>
  <si>
    <t>Top Ten Countries Importing from Netherlands in 2024 by value in 1 000 EUR</t>
  </si>
  <si>
    <t>Roses (300 171) / Other fresh cut flowers (83 962) / Cuttings and young plants (29 197)</t>
  </si>
  <si>
    <t>Roses (295 419) / Other fresh cut flowers (63 814) / Treated cut flowers (6 274)</t>
  </si>
  <si>
    <t>Cuttings and young plants (72 043) / Foliage plants (54 225) / Other live plants (52 417)</t>
  </si>
  <si>
    <t>Other fresh cut flowers (56 624) / Foliage plants (36 025) / Foliage, fresh (27 272)</t>
  </si>
  <si>
    <t>Roses (162 304) / Other fresh cut flowers (20 044) / Cuttings and young plants (16 561)</t>
  </si>
  <si>
    <t>Foliage plants (59 369) / Other fresh cut flowers (25 372) / Other live plants (24 579)</t>
  </si>
  <si>
    <t>Carnations (85 168) / Roses (28 735) / Other fresh cut flowers (22 222)</t>
  </si>
  <si>
    <t>Foliage plants (20 565) / Other live plants (19 439) / Foliage, fresh (19 419)</t>
  </si>
  <si>
    <t>Foliage plants (33 191) / Treated foliage (17 704) / Foliage, fresh (8 579)</t>
  </si>
  <si>
    <t>Roses (28 022) / Cuttings and young plants (26 821) / Cuttings and young plants ( 119)</t>
  </si>
  <si>
    <t>Other fresh cut flowers (800 882) / Roses (455 896) / Other live plants (336 965)</t>
  </si>
  <si>
    <t>Other fresh cut flowers (247 620) / Ornamental nursery stocks (192 340) / Other live plants (146 695)</t>
  </si>
  <si>
    <t>Other fresh cut flowers (205 920) / Roses (189 567) / Foliage plants (108 988)</t>
  </si>
  <si>
    <t>Roses (121 401) / Other fresh cut flowers (88 837) / Foliage plants (74 288)</t>
  </si>
  <si>
    <t>Other fresh cut flowers (79 261) / Foliage plants (78 416) / Ornamental nursery stocks (74 158)</t>
  </si>
  <si>
    <t>Roses (103 392) / Flowering pot plants (87 893) / Other fresh cut flowers (67 475)</t>
  </si>
  <si>
    <t>Other fresh cut flowers (97 772) / Flowering pot plants (38 336) / Foliage plants (36 680)</t>
  </si>
  <si>
    <t>Other fresh cut flowers (113 231) / Flower bulbs (77 871) / Flower bulbs (47 661)</t>
  </si>
  <si>
    <t>Chrysanthemums (142 804) / Other fresh cut flowers (112 243) / Roses (23 376)</t>
  </si>
  <si>
    <t>Other fresh cut flowers (67 249) / Flowering pot plants (44 838) / Roses (34 432)</t>
  </si>
  <si>
    <t>Cutflowers, fresh, different species (2610 312) / Roses, fresh cut (1473 478) / Chrysanthemums, fresh cut (482 276)</t>
  </si>
  <si>
    <t>Cutflowers, treated (372 724)</t>
  </si>
  <si>
    <t>Green/foliage plants (indoor) (1097 124) / Flowering Plants (indoor) (1050 477) / other ornamental plants (outdoor) (957 413)</t>
  </si>
  <si>
    <t>other cuttings and slips (158 430)</t>
  </si>
  <si>
    <t>other  bulbs etc., dormant (650 348) / Tulip, dormant (355 843) / Narcissi, dormant (74 043)</t>
  </si>
  <si>
    <t>Orchids, hyacinth etc. in growth and flower (438 004) / Bulbs etc. in growth or flower (54 684)</t>
  </si>
  <si>
    <t>Cut foliage, branches etc., fresh (274 877) / Christmas trees (15 260) / Mosses and lichens, fresh (3 110)</t>
  </si>
  <si>
    <t>Cut Foliage, branches etc., only dried (64 138) / Reindeer moss, treated (4 743)</t>
  </si>
  <si>
    <t>Roses, fresh cut (829 739) / Cutflowers, fresh, different species (387 930) / Carnations, fresh cut (132 853)</t>
  </si>
  <si>
    <t>Cutflowers, treated (80 110)</t>
  </si>
  <si>
    <t>Green/foliage plants (indoor) (269 647) / Cuttings with roots and young plants (indoor) (179 215) / other ornamental plants (outdoor) (164 947)</t>
  </si>
  <si>
    <t>other cuttings and slips (169 240)</t>
  </si>
  <si>
    <t>Cut foliage, branches etc., fresh (246 828) / Christmas trees (9 250) / Mosses and lichens, fresh ( 518)</t>
  </si>
  <si>
    <t>Cut Foliage, branches etc., only dried (82 091) / Reindeer moss, treated (3 678)</t>
  </si>
  <si>
    <t>other  bulbs etc., dormant (35 388) / Tulip, dormant (8 643) / Narcissi, dormant (4 252)</t>
  </si>
  <si>
    <t>Orchids, hyacinth etc. in growth and flower (6 427) / Bulbs etc. in growth or flower (2 753)</t>
  </si>
  <si>
    <t>Exports from Poland in 2024 by value in 1 000 EUR</t>
  </si>
  <si>
    <t>Imports to Poland in 2024 by value in 1 000 EUR</t>
  </si>
  <si>
    <t>Top Ten Countries Exporting to Poland in 2024 by value in 1 000 EUR</t>
  </si>
  <si>
    <t>Top Ten Countries Importing from Poland in 2024 by value in 1 000 EUR</t>
  </si>
  <si>
    <t>Roses (82 891) / Foliage plants (72 629) / Other fresh cut flowers (63 472)</t>
  </si>
  <si>
    <t>Flowering pot plants (10 152) / Other live plants (9 835) / Ornamental nursery stocks (8 810)</t>
  </si>
  <si>
    <t>Foliage plants (7 985) / Flowering pot plants (4 391) / Christmas trees (3 801)</t>
  </si>
  <si>
    <t>Roses (3 262) / Carnations (2 459) / Other fresh cut flowers ( 836)</t>
  </si>
  <si>
    <t>Ornamental nursery stocks (1 315) / Other live plants (1 052) / Cuttings and young plants ( 602)</t>
  </si>
  <si>
    <t>Azaleas ( 885) / Flowering pot plants ( 734) / Foliage plants ( 656)</t>
  </si>
  <si>
    <t>Other live plants (1 288) / Foliage plants ( 889) / Flowering pot plants ( 577)</t>
  </si>
  <si>
    <t>Carnations (2 563) / Foliage plants ( 559) / Flowering pot plants ( 556)</t>
  </si>
  <si>
    <t>Treated foliage (1 037) / Treated cut flowers ( 292) / Other fresh cut flowers ( 91)</t>
  </si>
  <si>
    <t>Ornamental nursery stocks (1 027) / Flower bulbs ( 197) / Fruit trees and shrubs ( 153)</t>
  </si>
  <si>
    <t>Ornamental nursery stocks (15 530) / Flower bulbs (7 974) / Flowering pot plants (5 153)</t>
  </si>
  <si>
    <t>Ornamental nursery stocks (18 280) / Fruit trees and shrubs (2 731) / Flowering pot plants (2 561)</t>
  </si>
  <si>
    <t>Cuttings and young plants (7 445) / Treated foliage (5 625) / Christmas trees (3 370)</t>
  </si>
  <si>
    <t>Cuttings and young plants (3 746) / Cuttings and young plants (3 217) / Treated cut flowers (3 074)</t>
  </si>
  <si>
    <t>Other fresh cut flowers (5 091) / Cuttings and young plants (1 743) / Christmas trees (1 066)</t>
  </si>
  <si>
    <t>Flower bulbs (3 929) / Ornamental nursery stocks (2 802) / Cuttings and young plants (1 432)</t>
  </si>
  <si>
    <t>Other fresh cut flowers (3 932) / Roses (1 623) / Cuttings and young plants (1 413)</t>
  </si>
  <si>
    <t>Ornamental nursery stocks (2 505) / Flower bulbs (1 504) / Cuttings and young plants (1 099)</t>
  </si>
  <si>
    <t>Christmas trees (3 703) / Cuttings and young plants (2 311) / Other live plants (2 286)</t>
  </si>
  <si>
    <t>Roses (1 308) / Ornamental nursery stocks ( 978) / Other fresh cut flowers ( 891)</t>
  </si>
  <si>
    <t>Trees, shrubs and bushes (outdoor) (50 162) / Cuttings with roots and young plants (indoor) (20 618) / Cuttings with roots and young plants (outdoor) (18 928)</t>
  </si>
  <si>
    <t>Fruit trees, shrubs and bushes (10 179)</t>
  </si>
  <si>
    <t>Tulip, dormant (14 261) / other  bulbs etc., dormant (8 619) / Gladioli, dormant ( 325)</t>
  </si>
  <si>
    <t>Orchids, hyacinth etc. in growth and flower (9 781) / Bulbs etc. in growth or flower (6 222)</t>
  </si>
  <si>
    <t>Cutflowers, fresh, different species (18 179) / Roses, fresh cut (5 582) / Chrysanthemums, fresh cut (5 289)</t>
  </si>
  <si>
    <t>Cutflowers, treated (5 122)</t>
  </si>
  <si>
    <t>Christmas trees (14 945) / Cut foliage, branches etc., fresh (7 030) / Mosses and lichens, fresh ( 142)</t>
  </si>
  <si>
    <t>Cut Foliage, branches etc., only dried (11 656) / Reindeer moss, treated (1 327)</t>
  </si>
  <si>
    <t>Green/foliage plants (indoor) (86 272) / Flowering Plants (indoor) (74 338) / other ornamental plants (outdoor) (48 720)</t>
  </si>
  <si>
    <t>other cuttings and slips (11 075)</t>
  </si>
  <si>
    <t>Roses, fresh cut (88 004) / Cutflowers, fresh, different species (66 357) / Carnations, fresh cut (44 557)</t>
  </si>
  <si>
    <t>Cutflowers, treated (10 348)</t>
  </si>
  <si>
    <t>Tulip, dormant (23 001) / other  bulbs etc., dormant (14 457) / Gladioli, dormant (1 449)</t>
  </si>
  <si>
    <t>Orchids, hyacinth etc. in growth and flower (12 951) / Bulbs etc. in growth or flower (9 588)</t>
  </si>
  <si>
    <t>Cut foliage, branches etc., fresh (11 243) / Christmas trees (4 096) / Mosses and lichens, fresh ( 257)</t>
  </si>
  <si>
    <t>Cut Foliage, branches etc., only dried (3 768) / Reindeer moss, treated (1 044)</t>
  </si>
  <si>
    <t>Exports from Spain in 2024 by value in 1 000 EUR</t>
  </si>
  <si>
    <t>Imports to Spain in 2024 by value in 1 000 EUR</t>
  </si>
  <si>
    <t>Top Ten Countries Exporting to Spain in 2024 by value in 1 000 EUR</t>
  </si>
  <si>
    <t>Top Ten Countries Importing from Spain in 2024 by value in 1 000 EUR</t>
  </si>
  <si>
    <t>Azerbaijan</t>
  </si>
  <si>
    <t>Foliage plants (25 601) / Other fresh cut flowers (19 713) / Flowering pot plants (16 283)</t>
  </si>
  <si>
    <t>Roses (23 329) / Carnations (21 158) / Other fresh cut flowers (11 619)</t>
  </si>
  <si>
    <t>Roses (35 146) / Other fresh cut flowers (11 500) / Treated cut flowers (1 615)</t>
  </si>
  <si>
    <t>Ornamental nursery stocks (5 008) / Other live plants (4 605) / Fruit trees and shrubs (2 666)</t>
  </si>
  <si>
    <t>Fruit trees and shrubs (2 546) / Cuttings and young plants (1 898) / Other live plants (1 757)</t>
  </si>
  <si>
    <t>Treated foliage (3 466) / Foliage plants (1 449) / Other live plants (1 361)</t>
  </si>
  <si>
    <t>Other live plants (1 611) / Cuttings and young plants (1 007) / Flowering pot plants ( 924)</t>
  </si>
  <si>
    <t>Other live plants (5 038) / Fruit trees and shrubs ( 609) / Cuttings and young plants ( 41)</t>
  </si>
  <si>
    <t>Fruit trees and shrubs ( 873) / Other live plants ( 784) / Cuttings and young plants ( 666)</t>
  </si>
  <si>
    <t>Treated foliage ( 907) / Foliage plants ( 580) / Cuttings and young plants ( 521)</t>
  </si>
  <si>
    <t>Other live plants (62 959) / Flowering pot plants (21 045) / Ornamental nursery stocks (18 593)</t>
  </si>
  <si>
    <t>Other live plants (22 533) / Foliage, fresh (16 262) / Treated foliage (11 876)</t>
  </si>
  <si>
    <t>Treated foliage (10 202) / Roses (9 459) / Fruit trees and shrubs (8 559)</t>
  </si>
  <si>
    <t>Other live plants (18 480) / Foliage plants (7 574) / Cuttings and young plants (4 787)</t>
  </si>
  <si>
    <t>Fruit trees and shrubs (24 962) / Fruit trees and shrubs (13 327) / Other live plants ( 548)</t>
  </si>
  <si>
    <t>Other live plants (12 586) / Fruit trees and shrubs (10 083) / Foliage plants (3 075)</t>
  </si>
  <si>
    <t>Other live plants (7 748) / Flowering pot plants (2 023) / Foliage plants (1 347)</t>
  </si>
  <si>
    <t>Ornamental nursery stocks (12 128) / Other live plants ( 938) / Fruit trees and shrubs ( 426)</t>
  </si>
  <si>
    <t>Other live plants (4 333) / Fruit trees and shrubs (3 410) / Treated cut flowers (1 680)</t>
  </si>
  <si>
    <t>Other live plants (5 569) / Flowering pot plants (1 271) / Foliage plants ( 819)</t>
  </si>
  <si>
    <t>other ornamental plants (outdoor) (171 325) / Trees, shrubs and bushes (outdoor) (49 472) / Green/foliage plants (indoor) (38 047)</t>
  </si>
  <si>
    <t>Fruit trees, shrubs and bushes (82 016)</t>
  </si>
  <si>
    <t>Cutflowers, fresh, different species (17 704) / Roses, fresh cut (15 272) / Carnations, fresh cut (10 853)</t>
  </si>
  <si>
    <t>Cutflowers, treated (32 393)</t>
  </si>
  <si>
    <t>Cut Foliage, branches etc., only dried (28 498) / Reindeer moss, treated ( 382)</t>
  </si>
  <si>
    <t>Cut foliage, branches etc., fresh (19 830) / Mosses and lichens, fresh (4 398) / Christmas trees ( 42)</t>
  </si>
  <si>
    <t>Bulbs etc. in growth or flower (6 370) / Orchids, hyacinth etc. in growth and flower ( 165)</t>
  </si>
  <si>
    <t>other  bulbs etc., dormant (2 119) / Tulip, dormant ( 53) / Gladioli, dormant ( 23)</t>
  </si>
  <si>
    <t>Roses, fresh cut (62 699) / Cutflowers, fresh, different species (44 061) / Carnations, fresh cut (22 136)</t>
  </si>
  <si>
    <t>Cutflowers, treated (15 387)</t>
  </si>
  <si>
    <t>Green/foliage plants (indoor) (32 533) / other ornamental plants (outdoor) (27 768) / Flowering Plants (indoor) (18 568)</t>
  </si>
  <si>
    <t>other cuttings and slips (18 802)</t>
  </si>
  <si>
    <t>Orchids, hyacinth etc. in growth and flower (6 710) / Bulbs etc. in growth or flower (5 691)</t>
  </si>
  <si>
    <t>other  bulbs etc., dormant (6 801) / Gladioli, dormant ( 418) / Tulip, dormant ( 268)</t>
  </si>
  <si>
    <t>Cut Foliage, branches etc., only dried (8 637) / Reindeer moss, treated ( 600)</t>
  </si>
  <si>
    <t>Cut foliage, branches etc., fresh (7 708) / Mosses and lichens, fresh ( 638) / Christmas trees ( 396)</t>
  </si>
  <si>
    <t>Exports from United Kingdom in 2024 by value in 1 000 EUR</t>
  </si>
  <si>
    <t>Imports to United Kingdom in 2024 by value in 1 000 EUR</t>
  </si>
  <si>
    <t>Top Ten Countries Exporting to United Kingdom in 2024 by value in 1 000 EUR</t>
  </si>
  <si>
    <t>Top Ten Countries Importing from United Kingdom in 2024 by value in 1 000 EUR</t>
  </si>
  <si>
    <t>Other fresh cut flowers (199 092) / Ornamental nursery stocks (189 929) / Other live plants (132 519)</t>
  </si>
  <si>
    <t>Roses (116 574) / Other fresh cut flowers (25 666) / Treated cut flowers (8 776)</t>
  </si>
  <si>
    <t>Chrysanthemums (34 903) / Treated cut flowers (16 038) / Roses (13 536)</t>
  </si>
  <si>
    <t>Other fresh cut flowers (17 042) / Other live plants (6 725) / Roses (6 080)</t>
  </si>
  <si>
    <t>Ornamental nursery stocks (27 479) / Other live plants (8 879) / Foliage plants (1 956)</t>
  </si>
  <si>
    <t>Ornamental nursery stocks (12 449) / Other live plants (6 581) / Flowering pot plants (2 295)</t>
  </si>
  <si>
    <t>Christmas trees (12 840) / Foliage plants (2 570) / Ornamental nursery stocks (2 284)</t>
  </si>
  <si>
    <t>Christmas trees (4 840) / Roses (2 672) / Foliage, fresh (2 047)</t>
  </si>
  <si>
    <t>Other live plants (6 235) / Ornamental nursery stocks (4 830) / Cuttings and young plants (2 036)</t>
  </si>
  <si>
    <t>Fruit trees and shrubs (4 853) / Other live plants (3 844) / Treated cut flowers (1 499)</t>
  </si>
  <si>
    <t>Other fresh cut flowers (17 752) / Flower bulbs (3 746) / Flower bulbs ( 494)</t>
  </si>
  <si>
    <t>Treated cut flowers (4 414) / Flower bulbs (3 058) / Other fresh cut flowers ( 296)</t>
  </si>
  <si>
    <t>Other live plants (2 030) / Flowering pot plants (1 553) / Other fresh cut flowers ( 528)</t>
  </si>
  <si>
    <t>Treated cut flowers (1 231) / Other fresh cut flowers ( 70) / Flower bulbs ( 16)</t>
  </si>
  <si>
    <t>Fruit trees and shrubs ( 593) / Cuttings and young plants ( 242) / Other live plants ( 224)</t>
  </si>
  <si>
    <t>Fruit trees and shrubs ( 765) / Treated cut flowers ( 46) / Flower bulbs ( 23)</t>
  </si>
  <si>
    <t>Other fresh cut flowers ( 669) / Fruit trees and shrubs ( 59) / Flower bulbs ( 24)</t>
  </si>
  <si>
    <t>Treated foliage ( 192) / Mosses and lichens ( 101) / Fruit trees and shrubs ( 37)</t>
  </si>
  <si>
    <t>Christmas trees ( 278)</t>
  </si>
  <si>
    <t>Other live plants ( 137) / Flower bulbs ( 68) / Rose plants ( 32)</t>
  </si>
  <si>
    <t>Cutflowers, fresh, different species (19 515) / Roses, fresh cut ( 396) / Chrysanthemums, fresh cut ( 150)</t>
  </si>
  <si>
    <t>Cutflowers, treated (6 315)</t>
  </si>
  <si>
    <t>other ornamental plants (outdoor) (2 794) / Flowering Plants (indoor) (1 922) / Cuttings with roots and young plants (outdoor) ( 693)</t>
  </si>
  <si>
    <t>Fruit trees, shrubs and bushes (2 426)</t>
  </si>
  <si>
    <t>Narcissi, dormant (7 339) / Tulip, dormant ( 618) / other  bulbs etc., dormant ( 396)</t>
  </si>
  <si>
    <t>Bulbs etc. in growth or flower ( 61) / Orchids, hyacinth etc. in growth and flower ( 8)</t>
  </si>
  <si>
    <t>Cut Foliage, branches etc., only dried ( 565) / Reindeer moss, treated ( 123)</t>
  </si>
  <si>
    <t>Christmas trees ( 298) / Cut foliage, branches etc., fresh ( 174) / Reindeer moss, fresh ( 14)</t>
  </si>
  <si>
    <t>Cutflowers, fresh, different species (251 055) / Roses, fresh cut (228 978) / Chrysanthemums, fresh cut (120 321)</t>
  </si>
  <si>
    <t>Cutflowers, treated (43 301)</t>
  </si>
  <si>
    <t>Trees, shrubs and bushes (outdoor) (243 478) / other ornamental plants (outdoor) (174 709) / Green/foliage plants (indoor) (111 470)</t>
  </si>
  <si>
    <t>Fruit trees, shrubs and bushes (24 593)</t>
  </si>
  <si>
    <t>other  bulbs etc., dormant (38 827) / Tulip, dormant (29 679) / Narcissi, dormant (8 390)</t>
  </si>
  <si>
    <t>Orchids, hyacinth etc. in growth and flower (12 042) / Bulbs etc. in growth or flower (4 877)</t>
  </si>
  <si>
    <t>Cut foliage, branches etc., fresh (31 614) / Christmas trees (25 048) / Mosses and lichens, fresh ( 224)</t>
  </si>
  <si>
    <t>Cut Foliage, branches etc., only dried (13 933) / Reindeer moss, treated ( 917)</t>
  </si>
  <si>
    <t>Source: UK Trade Info, Overseas trade by commodity code 2024</t>
  </si>
  <si>
    <t>Source: Eurostat, provisional data for 2024</t>
  </si>
  <si>
    <t>Begonia</t>
  </si>
  <si>
    <t>Bulbous, tuberous and rhizomatous plants</t>
  </si>
  <si>
    <t>Pines</t>
  </si>
  <si>
    <t>Leafy plants</t>
  </si>
  <si>
    <t>Shrubs</t>
  </si>
  <si>
    <t>Nursery  stock</t>
  </si>
  <si>
    <t xml:space="preserve">Source: Disznovenytermesztes 2023, Institute of Agricultural Economics (AKI) </t>
  </si>
  <si>
    <t>Pansy</t>
  </si>
  <si>
    <r>
      <t xml:space="preserve">2024 </t>
    </r>
    <r>
      <rPr>
        <b/>
        <vertAlign val="superscript"/>
        <sz val="8"/>
        <color theme="1"/>
        <rFont val="Arial"/>
        <family val="2"/>
      </rPr>
      <t>2</t>
    </r>
  </si>
  <si>
    <r>
      <rPr>
        <vertAlign val="superscript"/>
        <sz val="7"/>
        <color theme="1"/>
        <rFont val="Arial"/>
        <family val="2"/>
      </rPr>
      <t xml:space="preserve">2 </t>
    </r>
    <r>
      <rPr>
        <sz val="7"/>
        <color theme="1"/>
        <rFont val="Arial"/>
        <family val="2"/>
      </rPr>
      <t xml:space="preserve"> Badan Pusat Statistik (Statistics Indonesia), Statistik Hortikultura 2024 Volume 6, 2025</t>
    </r>
  </si>
  <si>
    <r>
      <t xml:space="preserve">Jasmine </t>
    </r>
    <r>
      <rPr>
        <vertAlign val="superscript"/>
        <sz val="8"/>
        <color theme="1"/>
        <rFont val="Arial"/>
        <family val="2"/>
      </rPr>
      <t>2</t>
    </r>
  </si>
  <si>
    <t>Source: AMI GmbH, Germany, 2025</t>
  </si>
  <si>
    <t xml:space="preserve">Source: Statistics Bureau Japan, Family income and expenditure survey , 2025 Yearly Average, Table 10 </t>
  </si>
  <si>
    <t>Source: Statistics Bureau Japan, Family income and expenditure survey, 2025 Yearly Average, Table 10</t>
  </si>
  <si>
    <t>Source: Bundesamt für Statistik, STAT-TAB, 07-Land- und Forstwirtschaft, Landwirtschafliche Betriebe und Landwirtschaftliche Nutzfläche (LN) auf Klassifizierungsebene 3 nach Kanton, 2025</t>
  </si>
  <si>
    <t>Source:  Agriculture in the United Kingdom 2024, Department for Environment, Food and Rural Affairs, Plants and flowers (table 7.10a)</t>
  </si>
  <si>
    <t>Source: Horticultural statistics 2024, Department for Environment, Food &amp; Rural Affairs, Table 5</t>
  </si>
  <si>
    <t>Source: 2023 Agricultural Census, National Statistical Office</t>
  </si>
  <si>
    <t>2024e</t>
  </si>
  <si>
    <t>Exports in thousand USD</t>
  </si>
  <si>
    <t>Source: Costa Rican Agricultural Sector Information System, Boletín Estadístico Agropecuario No. 34 (2020-23) 2024</t>
  </si>
  <si>
    <t>Source: United States Department of Agriculture, Foreign Agricultural Service, 2025</t>
  </si>
  <si>
    <r>
      <rPr>
        <vertAlign val="superscript"/>
        <sz val="7"/>
        <rFont val="Calibri"/>
        <family val="2"/>
        <scheme val="minor"/>
      </rPr>
      <t>1</t>
    </r>
    <r>
      <rPr>
        <sz val="7"/>
        <rFont val="Calibri"/>
        <family val="2"/>
        <scheme val="minor"/>
      </rPr>
      <t xml:space="preserve"> Source: Gobierno de Mexico, Anuario Estadístico de la Producción Agrícola, 2025</t>
    </r>
  </si>
  <si>
    <t xml:space="preserve">Source: Worldbank, 2025, World Development Indicators </t>
  </si>
  <si>
    <t xml:space="preserve">Source: Worldbank, 2025,  World Development Indicators </t>
  </si>
  <si>
    <t>Economic indicators  2024</t>
  </si>
  <si>
    <t xml:space="preserve">Source: Wolrdbank, 2025, World Development Indicators </t>
  </si>
  <si>
    <t>Source: Worldbank, 2025, World Development Indicators</t>
  </si>
  <si>
    <t>Source: Statistics Belgium, Landbouwcijfers 2024, Tab A</t>
  </si>
  <si>
    <r>
      <t>2024</t>
    </r>
    <r>
      <rPr>
        <b/>
        <vertAlign val="superscript"/>
        <sz val="8"/>
        <color theme="1"/>
        <rFont val="Arial"/>
        <family val="2"/>
      </rPr>
      <t xml:space="preserve"> 1</t>
    </r>
  </si>
  <si>
    <r>
      <t xml:space="preserve">2024 </t>
    </r>
    <r>
      <rPr>
        <vertAlign val="superscript"/>
        <sz val="10"/>
        <color theme="1"/>
        <rFont val="Arial"/>
        <family val="2"/>
      </rPr>
      <t>1</t>
    </r>
  </si>
  <si>
    <r>
      <t xml:space="preserve"> </t>
    </r>
    <r>
      <rPr>
        <vertAlign val="superscript"/>
        <sz val="7"/>
        <color theme="1"/>
        <rFont val="Arial"/>
        <family val="2"/>
      </rPr>
      <t>1</t>
    </r>
    <r>
      <rPr>
        <sz val="7"/>
        <color theme="1"/>
        <rFont val="Arial"/>
        <family val="2"/>
      </rPr>
      <t xml:space="preserve"> 2017-2024 based on estimates, research and analysis by D. Olewnicki, Institute of Horticultural Sciences, Warsaw University of Life Sciences</t>
    </r>
  </si>
  <si>
    <r>
      <rPr>
        <vertAlign val="superscript"/>
        <sz val="7"/>
        <color theme="1"/>
        <rFont val="Arial"/>
        <family val="2"/>
      </rPr>
      <t>1</t>
    </r>
    <r>
      <rPr>
        <sz val="7"/>
        <color theme="1"/>
        <rFont val="Arial"/>
        <family val="2"/>
      </rPr>
      <t xml:space="preserve"> For 2017 to 2024 based on estimates, research and analysis by D. Olewnicki, Institute of Horticultural Sciences, Warsaw University of Life Sciences</t>
    </r>
  </si>
  <si>
    <r>
      <t xml:space="preserve">2024 </t>
    </r>
    <r>
      <rPr>
        <b/>
        <sz val="8"/>
        <color theme="1"/>
        <rFont val="Calibri"/>
        <family val="2"/>
        <charset val="238"/>
      </rPr>
      <t>¹</t>
    </r>
  </si>
  <si>
    <r>
      <rPr>
        <vertAlign val="superscript"/>
        <sz val="7"/>
        <color theme="1"/>
        <rFont val="Arial"/>
        <family val="2"/>
      </rPr>
      <t>1</t>
    </r>
    <r>
      <rPr>
        <sz val="7"/>
        <color theme="1"/>
        <rFont val="Arial"/>
        <family val="2"/>
      </rPr>
      <t xml:space="preserve"> For 2017 - 2024 based on estimates, research and analysis by D. Olewnicki, Institute of Horticultural Sciences, Warsaw University of Life Sciences</t>
    </r>
  </si>
  <si>
    <r>
      <t xml:space="preserve">Flowers and ornamental plants </t>
    </r>
    <r>
      <rPr>
        <b/>
        <vertAlign val="superscript"/>
        <sz val="12"/>
        <color theme="1"/>
        <rFont val="Arial"/>
        <family val="2"/>
      </rPr>
      <t>1</t>
    </r>
  </si>
  <si>
    <t>Area, production value and number of enterprises</t>
  </si>
  <si>
    <t>Area in hectares, value in million EUR</t>
  </si>
  <si>
    <t>In hectares</t>
  </si>
  <si>
    <t>In the</t>
  </si>
  <si>
    <t xml:space="preserve"> open</t>
  </si>
  <si>
    <r>
      <t>Year</t>
    </r>
    <r>
      <rPr>
        <vertAlign val="superscript"/>
        <sz val="8"/>
        <color rgb="FF000000"/>
        <rFont val="Arial"/>
        <family val="2"/>
      </rPr>
      <t>2</t>
    </r>
  </si>
  <si>
    <t>Remarks</t>
  </si>
  <si>
    <t>Number </t>
  </si>
  <si>
    <t xml:space="preserve">France </t>
  </si>
  <si>
    <t>319 e</t>
  </si>
  <si>
    <t>Europe</t>
  </si>
  <si>
    <t>e</t>
  </si>
  <si>
    <t>Middle East</t>
  </si>
  <si>
    <t>Africa</t>
  </si>
  <si>
    <t>23/24</t>
  </si>
  <si>
    <t>20/21</t>
  </si>
  <si>
    <t>23</t>
  </si>
  <si>
    <t>23p</t>
  </si>
  <si>
    <t>22/23</t>
  </si>
  <si>
    <t>Iran</t>
  </si>
  <si>
    <t xml:space="preserve">Vietnam </t>
  </si>
  <si>
    <t>Asia / Pacific</t>
  </si>
  <si>
    <t>48 200</t>
  </si>
  <si>
    <t>North America</t>
  </si>
  <si>
    <t>Central / South America</t>
  </si>
  <si>
    <t>World</t>
  </si>
  <si>
    <r>
      <rPr>
        <vertAlign val="superscript"/>
        <sz val="7"/>
        <color rgb="FF000000"/>
        <rFont val="Arial"/>
        <family val="2"/>
      </rPr>
      <t>1</t>
    </r>
    <r>
      <rPr>
        <b/>
        <vertAlign val="superscript"/>
        <sz val="7"/>
        <color rgb="FF000000"/>
        <rFont val="Arial"/>
        <family val="2"/>
      </rPr>
      <t xml:space="preserve"> </t>
    </r>
    <r>
      <rPr>
        <b/>
        <sz val="7"/>
        <color rgb="FF000000"/>
        <rFont val="Arial"/>
        <family val="2"/>
      </rPr>
      <t>included</t>
    </r>
    <r>
      <rPr>
        <sz val="7"/>
        <color rgb="FF000000"/>
        <rFont val="Arial"/>
        <family val="2"/>
      </rPr>
      <t xml:space="preserve"> are cut flowers, cut foliage, pot plants, bedding plants, perennials, </t>
    </r>
    <r>
      <rPr>
        <b/>
        <sz val="7"/>
        <color rgb="FF000000"/>
        <rFont val="Arial"/>
        <family val="2"/>
      </rPr>
      <t>excluded</t>
    </r>
    <r>
      <rPr>
        <sz val="7"/>
        <color rgb="FF000000"/>
        <rFont val="Arial"/>
        <family val="2"/>
      </rPr>
      <t xml:space="preserve"> are flowers bulbs, nursery stock</t>
    </r>
  </si>
  <si>
    <r>
      <rPr>
        <vertAlign val="superscript"/>
        <sz val="7"/>
        <color rgb="FF000000"/>
        <rFont val="Arial"/>
        <family val="2"/>
      </rPr>
      <t xml:space="preserve">2 </t>
    </r>
    <r>
      <rPr>
        <sz val="7"/>
        <color rgb="FF000000"/>
        <rFont val="Arial"/>
        <family val="2"/>
      </rPr>
      <t>available year;      p = provisional;      e = estimated;       protected area includes greenhouse area, area under glass or plastics</t>
    </r>
  </si>
  <si>
    <t>Data are available only for selected countries. Reported totals are therefore incomplete.</t>
  </si>
  <si>
    <t xml:space="preserve">Remarks </t>
  </si>
  <si>
    <t>1 EU countries: Production value for flowers and ornamental plants at basic price in current prices; christmas trees included, provisional; Source: Eurostat</t>
  </si>
  <si>
    <t>2 Germany: Source: Bundesministerium für Ernährung und Landwirtschaft (BMEL), Area, number of enterprises: Stat. Bundesamt, Zierpflanzenerhebung 2021</t>
  </si>
  <si>
    <t>3 France: Source: Agreste, Statistique Agricole Annuelle 2023, includes cut flowers, foliage, pot and bedding plants and perennials</t>
  </si>
  <si>
    <t>4 Different countries: Source: International Trade center (ITC), Production value: value of exports Cut flowers, Cut foliage and Live plants</t>
  </si>
  <si>
    <t>5 Italy: Source: Agricultural Census 2010</t>
  </si>
  <si>
    <t>6 Poland: Source:  D. Olewnicki, Institute of Horticultural Sciences, Warsaw University of Life Sciences</t>
  </si>
  <si>
    <t>7 Switzerland: Source: Bundesamt für Statistik, Switzerland; Area and number of holdings only greenhouse production</t>
  </si>
  <si>
    <t xml:space="preserve">8 UK: Source: Gov. UK: Farming statistics, Area: Flowers and bulbs in the open and under protection; Production value:, Department for Environment, Food and Rural Affairs </t>
  </si>
  <si>
    <t>9 Israel: Source: Central Bureau of Statistics (CBS)</t>
  </si>
  <si>
    <t>10 Turkey: Source: Turkish Statistical Institute, cut flowers and indoor plants</t>
  </si>
  <si>
    <t xml:space="preserve">11 Kenya: Kenya: Source: Horticultural Crops Development Authority (HCDA) </t>
  </si>
  <si>
    <t xml:space="preserve">12 South Africa: Source: Census of commercial agriculture 2007, cut flowers and pot plants </t>
  </si>
  <si>
    <t>13 China: Area: Cut flowers, cut foliage and pot plants; Sales volume: Cut flowers, foliage, branches and pot plants; Source: China Flower Association</t>
  </si>
  <si>
    <t>14 India: Loose flowers and cut flowers, Source: National Horticultural Board India</t>
  </si>
  <si>
    <t>15 Japan: Source: Statistics Department, Ministry of Agriculture, Forestry and  Fisheries; Cut flowers, Cut foliage, Potted flowering  plants and Bedding plants</t>
  </si>
  <si>
    <t>16 Korea, Republic of:Source: Korean Statistical Information Service (KOSIS),Statistical Database</t>
  </si>
  <si>
    <t>17 Thailand: Area: Cut flowers and orchids; Source: Agricultural Census</t>
  </si>
  <si>
    <t>18 Vietnam: Area cut flowers and foliage; Source: Dutch Embassy Hanoi</t>
  </si>
  <si>
    <t>19 USA: Source: United States, Departement of Agriculture, Floriculture Crops 2023 Summary</t>
  </si>
  <si>
    <t>20 Canada: Farm gate value, only for production under protection (greenhouses); Source: Cansim Database</t>
  </si>
  <si>
    <t>21 Brazil:  Area: Flowers and plants, Source: Ibraflor</t>
  </si>
  <si>
    <t>22 Costa Rica: Flowers and plants; Source: Boletín Estadístico Agropecuario Nr.29, Secretaría Ejecutiva de Planificación Sectorial Agropecuaria</t>
  </si>
  <si>
    <t>23 Ecuador: Source: INEC ESPAC</t>
  </si>
  <si>
    <t>24 Mexico: Cut flowers and pot plants, without christmas trees; Source:  Servizio de información Agroalimentaria y Pesquera Mexico</t>
  </si>
  <si>
    <t>25 Ethiopia. Source: EHPEA</t>
  </si>
  <si>
    <t>26 Iran: Source: Deputy of Horticulture- Agriculture Ministry of Iran</t>
  </si>
  <si>
    <t>27 Belgium: Statistics Belgium, Landbouwcijfers 2024, Tab A</t>
  </si>
  <si>
    <t>28 Malaysia: Source: Department of Agriculture in: Producer´s Perspective on the Potential of Malaysia`s Floricultural Industry</t>
  </si>
  <si>
    <t>29 Austria: Source: Statistik Austria , Anbau auf dem Ackerland 2024</t>
  </si>
  <si>
    <t>30 Denmark: Source: Statistics Denmark, Statbank Business sectors/Agriculture, horticulture and forestry/Crops</t>
  </si>
  <si>
    <t>31 Finland: Source: Luke, Horticultural Statistics</t>
  </si>
  <si>
    <t>32 Norway: Source: Statistics Norway, Census of Agriculture 2020</t>
  </si>
  <si>
    <t>33 Netherlands: Source: Centraal Bureau voor de Statistiek (CBS)</t>
  </si>
  <si>
    <t xml:space="preserve">34 Netherlands: Source:  National Amenity Census 2011; Department of Agriculture, Food and the Marine; Bord Bia; Irish Food Board </t>
  </si>
  <si>
    <t>35 Spain: Source: Ministerio de Agricultura, Alimentacion y Medio Ambiente: Avance de Anuario de Estadistica 2023</t>
  </si>
  <si>
    <t>36 Sweden: Source: J. Persson, Schwedisches Zentralamt für Landwirtschaft, Jönköping</t>
  </si>
  <si>
    <t xml:space="preserve">37 Kenya: Source: Horticultural Crops Development Authority (HCDA) </t>
  </si>
  <si>
    <t>38 Australia: Horticulture Innovation Australia Limited, Australian Horticulture Statistics Handbook, 2023/2024</t>
  </si>
  <si>
    <r>
      <t>Year</t>
    </r>
    <r>
      <rPr>
        <vertAlign val="superscript"/>
        <sz val="8"/>
        <color rgb="FF000000"/>
        <rFont val="Arial"/>
        <family val="2"/>
      </rPr>
      <t>1</t>
    </r>
  </si>
  <si>
    <t xml:space="preserve">Number </t>
  </si>
  <si>
    <t xml:space="preserve">Germany </t>
  </si>
  <si>
    <t>18p</t>
  </si>
  <si>
    <r>
      <rPr>
        <vertAlign val="superscript"/>
        <sz val="7"/>
        <color rgb="FF000000"/>
        <rFont val="Arial"/>
        <family val="2"/>
      </rPr>
      <t xml:space="preserve">1 </t>
    </r>
    <r>
      <rPr>
        <sz val="7"/>
        <color rgb="FF000000"/>
        <rFont val="Arial"/>
        <family val="2"/>
      </rPr>
      <t>available year;  p = provisional</t>
    </r>
  </si>
  <si>
    <t>1 France:  Flower bulbs; Source: Agreste, Statistique Agricole Annuelle 2024</t>
  </si>
  <si>
    <t>2 Germany: Production of Seeds and Bulbs: Source: Stat. Bundesamt, Zierpflanzenerhebung 2021</t>
  </si>
  <si>
    <t>3 Netherlands: Source: Bloembollenkeuringsdienst (BKD) 2025, provisional data; number of Enterprises:  CBS, 2025</t>
  </si>
  <si>
    <t>4 Turkey: Source: Turkish Statistical Institute</t>
  </si>
  <si>
    <t>5 China: Area: Bulbs, sales volume; Source: China Flower Association, 2021, provisional data for 2018</t>
  </si>
  <si>
    <t>6 USA: Source: Census of Agriculture 2022</t>
  </si>
  <si>
    <t>7 Belgium: Source: Statistics Belgium, Landbouwcijfers 2024, Tab A</t>
  </si>
  <si>
    <t>8 Japan: Source: Statistics Department, Ministry of Agriculture, Forestry and  Fisheries; Bulbous plants</t>
  </si>
  <si>
    <t>9 Source: J. Persson, Schwedisches Zentralamt für Landwirtschaft, Jönköping</t>
  </si>
  <si>
    <t xml:space="preserve">Europe </t>
  </si>
  <si>
    <t xml:space="preserve">Iran </t>
  </si>
  <si>
    <t>Other countries </t>
  </si>
  <si>
    <r>
      <rPr>
        <vertAlign val="superscript"/>
        <sz val="7"/>
        <color rgb="FF000000"/>
        <rFont val="Arial"/>
        <family val="2"/>
      </rPr>
      <t>1</t>
    </r>
    <r>
      <rPr>
        <sz val="7"/>
        <color rgb="FF000000"/>
        <rFont val="Arial"/>
        <family val="2"/>
      </rPr>
      <t xml:space="preserve"> available year;  p = provisional; e = estimated;  </t>
    </r>
  </si>
  <si>
    <t>1 EU-Countries: Production value for nursery stocks at producer price in current prices, provisional; Source: Eurostat</t>
  </si>
  <si>
    <t>2 Germany: Source : Bundesministerium für Ernährung und Landwirtschaft (BMEL)</t>
  </si>
  <si>
    <t>3 Austria: Source: Statistik der Landwirtschaft 2020, without Christmas trees</t>
  </si>
  <si>
    <t>4  Denmark:  Excluding production of Christmas trees; Source: Statistics Denmark</t>
  </si>
  <si>
    <t>5 France: Source: Recensement agricole 2010</t>
  </si>
  <si>
    <t>6 Poland: Source: D. Olewnicki, Institute of Horticultural Sciences, Warsaw University of Life Sciences</t>
  </si>
  <si>
    <t>7 Sweden: Source: Swedish Board of Agriculture, Horticultural Census 2023</t>
  </si>
  <si>
    <t>8 Switzerland: Area and number of holdings without christmas trees; Source:  Bundesamt für Statistik, Switzerland</t>
  </si>
  <si>
    <t>9 United Kingdom: Area only England, without christmas trees: Source: Gov. UK: Farming statistics</t>
  </si>
  <si>
    <t>10 Turkey: Outdoor ornamental plants; Source: Turkish Statistical Insitute</t>
  </si>
  <si>
    <t>11 China:  Area and  sales volume: Nursery stocks; Source: China Flower Association, 2024, provisional data for 2023</t>
  </si>
  <si>
    <t>12 Canada: Farm gate value (before sales tax); Source: Cansim database</t>
  </si>
  <si>
    <t>13 USA: Source: Census of Agriculture 2022</t>
  </si>
  <si>
    <t>14 UK: Production value, Source: Departement for Environment, Food and Rural Affairs</t>
  </si>
  <si>
    <t>15 Germany: Nursery area without christmas trees; Source: Stat. Bundesamt. Baumschulerhebung 2021</t>
  </si>
  <si>
    <t>16 Belgium: Statistics Belgium, Landbouwcijfers 2024, Tab A</t>
  </si>
  <si>
    <t>17 Iran: Source: Deputy of Horticulture- Agriculture Ministry of Iran</t>
  </si>
  <si>
    <t>18 Brazil: Source: Ibraflor</t>
  </si>
  <si>
    <t>19 Japan: Source: Statistics Department, Ministry of Agriculture, Forestry and  Fisheries</t>
  </si>
  <si>
    <t>20 Finland: Source: Luke, Horticultural Statistics</t>
  </si>
  <si>
    <t>21 Netherlands: Source: Centraal Bureau voor de Statistiek (CBS), 2025</t>
  </si>
  <si>
    <r>
      <t>Production value of flowers and ornamental plants</t>
    </r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>: Selected countries 2014- 2024</t>
    </r>
  </si>
  <si>
    <r>
      <t>US</t>
    </r>
    <r>
      <rPr>
        <b/>
        <vertAlign val="superscript"/>
        <sz val="8"/>
        <color theme="1"/>
        <rFont val="Arial"/>
        <family val="2"/>
      </rPr>
      <t>2</t>
    </r>
  </si>
  <si>
    <r>
      <t>CO</t>
    </r>
    <r>
      <rPr>
        <b/>
        <vertAlign val="superscript"/>
        <sz val="8"/>
        <color theme="1"/>
        <rFont val="Arial"/>
        <family val="2"/>
      </rPr>
      <t>3</t>
    </r>
  </si>
  <si>
    <r>
      <t>EC</t>
    </r>
    <r>
      <rPr>
        <b/>
        <vertAlign val="superscript"/>
        <sz val="8"/>
        <color theme="1"/>
        <rFont val="Arial"/>
        <family val="2"/>
      </rPr>
      <t>3</t>
    </r>
  </si>
  <si>
    <r>
      <t>CN</t>
    </r>
    <r>
      <rPr>
        <b/>
        <vertAlign val="superscript"/>
        <sz val="8"/>
        <color theme="1"/>
        <rFont val="Arial"/>
        <family val="2"/>
      </rPr>
      <t>4</t>
    </r>
  </si>
  <si>
    <r>
      <t xml:space="preserve">JP </t>
    </r>
    <r>
      <rPr>
        <b/>
        <vertAlign val="superscript"/>
        <sz val="8"/>
        <color theme="1"/>
        <rFont val="Arial"/>
        <family val="2"/>
      </rPr>
      <t>6</t>
    </r>
  </si>
  <si>
    <r>
      <t>NL</t>
    </r>
    <r>
      <rPr>
        <b/>
        <vertAlign val="superscript"/>
        <sz val="8"/>
        <color theme="1"/>
        <rFont val="Arial"/>
        <family val="2"/>
      </rPr>
      <t>5</t>
    </r>
  </si>
  <si>
    <r>
      <t>DE</t>
    </r>
    <r>
      <rPr>
        <b/>
        <vertAlign val="superscript"/>
        <sz val="8"/>
        <color theme="1"/>
        <rFont val="Arial"/>
        <family val="2"/>
      </rPr>
      <t>5</t>
    </r>
  </si>
  <si>
    <r>
      <t>ES</t>
    </r>
    <r>
      <rPr>
        <b/>
        <vertAlign val="superscript"/>
        <sz val="8"/>
        <color theme="1"/>
        <rFont val="Arial"/>
        <family val="2"/>
      </rPr>
      <t>5</t>
    </r>
  </si>
  <si>
    <r>
      <t>FR</t>
    </r>
    <r>
      <rPr>
        <b/>
        <vertAlign val="superscript"/>
        <sz val="8"/>
        <color theme="1"/>
        <rFont val="Arial"/>
        <family val="2"/>
      </rPr>
      <t>5</t>
    </r>
  </si>
  <si>
    <r>
      <t>UK</t>
    </r>
    <r>
      <rPr>
        <b/>
        <vertAlign val="superscript"/>
        <sz val="8"/>
        <color theme="1"/>
        <rFont val="Arial"/>
        <family val="2"/>
      </rPr>
      <t>6</t>
    </r>
  </si>
  <si>
    <r>
      <rPr>
        <vertAlign val="superscript"/>
        <sz val="7"/>
        <color theme="1"/>
        <rFont val="Arial"/>
        <family val="2"/>
      </rPr>
      <t>1</t>
    </r>
    <r>
      <rPr>
        <sz val="7"/>
        <color theme="1"/>
        <rFont val="Arial"/>
        <family val="2"/>
      </rPr>
      <t xml:space="preserve"> Cut flowers, cut foliage, pot plants and bedding plants</t>
    </r>
  </si>
  <si>
    <r>
      <rPr>
        <vertAlign val="superscript"/>
        <sz val="7"/>
        <color theme="1"/>
        <rFont val="Arial"/>
        <family val="2"/>
      </rPr>
      <t xml:space="preserve">2 </t>
    </r>
    <r>
      <rPr>
        <sz val="7"/>
        <color theme="1"/>
        <rFont val="Arial"/>
        <family val="2"/>
      </rPr>
      <t>USA: Census of Agriculture 2017</t>
    </r>
  </si>
  <si>
    <r>
      <rPr>
        <vertAlign val="superscript"/>
        <sz val="7"/>
        <color theme="1"/>
        <rFont val="Arial"/>
        <family val="2"/>
      </rPr>
      <t xml:space="preserve">1 </t>
    </r>
    <r>
      <rPr>
        <sz val="7"/>
        <color theme="1"/>
        <rFont val="Arial"/>
        <family val="2"/>
      </rPr>
      <t>Cut flowers, cut foliage, pot plants and bedding plants</t>
    </r>
  </si>
  <si>
    <r>
      <rPr>
        <vertAlign val="superscript"/>
        <sz val="7"/>
        <color theme="1"/>
        <rFont val="Arial"/>
        <family val="2"/>
      </rPr>
      <t>2</t>
    </r>
    <r>
      <rPr>
        <sz val="7"/>
        <color theme="1"/>
        <rFont val="Arial"/>
        <family val="2"/>
      </rPr>
      <t xml:space="preserve"> USA: Census of Agriculture 2022</t>
    </r>
  </si>
  <si>
    <r>
      <rPr>
        <vertAlign val="superscript"/>
        <sz val="7"/>
        <color theme="1"/>
        <rFont val="Arial"/>
        <family val="2"/>
      </rPr>
      <t>3</t>
    </r>
    <r>
      <rPr>
        <sz val="7"/>
        <color theme="1"/>
        <rFont val="Arial"/>
        <family val="2"/>
      </rPr>
      <t xml:space="preserve"> Export value for cut flowers and cut foliage</t>
    </r>
  </si>
  <si>
    <r>
      <rPr>
        <vertAlign val="superscript"/>
        <sz val="7"/>
        <color theme="1"/>
        <rFont val="Arial"/>
        <family val="2"/>
      </rPr>
      <t>4</t>
    </r>
    <r>
      <rPr>
        <sz val="7"/>
        <color theme="1"/>
        <rFont val="Arial"/>
        <family val="2"/>
      </rPr>
      <t xml:space="preserve"> Source: China Flowers Association </t>
    </r>
  </si>
  <si>
    <r>
      <rPr>
        <vertAlign val="superscript"/>
        <sz val="7"/>
        <color theme="1"/>
        <rFont val="Arial"/>
        <family val="2"/>
      </rPr>
      <t>5</t>
    </r>
    <r>
      <rPr>
        <sz val="7"/>
        <color theme="1"/>
        <rFont val="Arial"/>
        <family val="2"/>
      </rPr>
      <t xml:space="preserve"> Cut flowers, cut foliage, pot plants and bedding plants, including Christmas trees, Source: Eurostat</t>
    </r>
  </si>
  <si>
    <r>
      <rPr>
        <vertAlign val="superscript"/>
        <sz val="7"/>
        <color theme="1"/>
        <rFont val="Arial"/>
        <family val="2"/>
      </rPr>
      <t>6</t>
    </r>
    <r>
      <rPr>
        <sz val="7"/>
        <color theme="1"/>
        <rFont val="Arial"/>
        <family val="2"/>
      </rPr>
      <t xml:space="preserve"> Value flowers and bulbs</t>
    </r>
  </si>
  <si>
    <r>
      <rPr>
        <vertAlign val="superscript"/>
        <sz val="7"/>
        <color theme="1"/>
        <rFont val="Arial"/>
        <family val="2"/>
      </rPr>
      <t xml:space="preserve">6 </t>
    </r>
    <r>
      <rPr>
        <sz val="7"/>
        <color theme="1"/>
        <rFont val="Arial"/>
        <family val="2"/>
      </rPr>
      <t xml:space="preserve">No data for years 2011 to 2015 </t>
    </r>
  </si>
  <si>
    <r>
      <t>Production area of flowers and ornamental plants</t>
    </r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>: Selected countries 2014- 2024</t>
    </r>
  </si>
  <si>
    <t>CO</t>
  </si>
  <si>
    <t>EC</t>
  </si>
  <si>
    <r>
      <t>CN</t>
    </r>
    <r>
      <rPr>
        <b/>
        <vertAlign val="superscript"/>
        <sz val="8"/>
        <color theme="1"/>
        <rFont val="Arial"/>
        <family val="2"/>
      </rPr>
      <t>3</t>
    </r>
  </si>
  <si>
    <t>JP</t>
  </si>
  <si>
    <t>NL</t>
  </si>
  <si>
    <t>DE</t>
  </si>
  <si>
    <t>ES</t>
  </si>
  <si>
    <r>
      <t>FR</t>
    </r>
    <r>
      <rPr>
        <b/>
        <vertAlign val="superscript"/>
        <sz val="8"/>
        <color theme="1"/>
        <rFont val="Arial"/>
        <family val="2"/>
      </rPr>
      <t>4</t>
    </r>
  </si>
  <si>
    <r>
      <t>UK</t>
    </r>
    <r>
      <rPr>
        <b/>
        <vertAlign val="superscript"/>
        <sz val="8"/>
        <color theme="1"/>
        <rFont val="Arial"/>
        <family val="2"/>
      </rPr>
      <t>5</t>
    </r>
  </si>
  <si>
    <r>
      <rPr>
        <vertAlign val="superscript"/>
        <sz val="7"/>
        <color theme="1"/>
        <rFont val="Arial"/>
        <family val="2"/>
      </rPr>
      <t xml:space="preserve">2 </t>
    </r>
    <r>
      <rPr>
        <sz val="7"/>
        <color theme="1"/>
        <rFont val="Arial"/>
        <family val="2"/>
      </rPr>
      <t>USA: Census of Agriculture 2022</t>
    </r>
  </si>
  <si>
    <r>
      <rPr>
        <vertAlign val="superscript"/>
        <sz val="7"/>
        <color theme="1"/>
        <rFont val="Arial"/>
        <family val="2"/>
      </rPr>
      <t>3</t>
    </r>
    <r>
      <rPr>
        <sz val="7"/>
        <color theme="1"/>
        <rFont val="Arial"/>
        <family val="2"/>
      </rPr>
      <t xml:space="preserve"> Source: China Flowers Association </t>
    </r>
  </si>
  <si>
    <r>
      <rPr>
        <vertAlign val="superscript"/>
        <sz val="7"/>
        <color theme="1"/>
        <rFont val="Arial"/>
        <family val="2"/>
      </rPr>
      <t>4</t>
    </r>
    <r>
      <rPr>
        <sz val="7"/>
        <color theme="1"/>
        <rFont val="Arial"/>
        <family val="2"/>
      </rPr>
      <t xml:space="preserve"> Without cuttings and young plants </t>
    </r>
  </si>
  <si>
    <r>
      <rPr>
        <vertAlign val="superscript"/>
        <sz val="7"/>
        <color theme="1"/>
        <rFont val="Arial"/>
        <family val="2"/>
      </rPr>
      <t xml:space="preserve">5 </t>
    </r>
    <r>
      <rPr>
        <sz val="7"/>
        <color theme="1"/>
        <rFont val="Arial"/>
        <family val="2"/>
      </rPr>
      <t>Area flowers and bulbs</t>
    </r>
  </si>
  <si>
    <t>Cut flowers exported value</t>
  </si>
  <si>
    <t>Cut flowers imported value</t>
  </si>
  <si>
    <t>Cut flowers production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</si>
</sst>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\ ###"/>
    <numFmt numFmtId="167" formatCode="_-&quot;€&quot;\ * #,##0.00_-;_-&quot;€&quot;\ * \-#,##0.00;_-&quot;€&quot;* #0_-;_-@_-"/>
    <numFmt numFmtId="168" formatCode="&quot;fl&quot;\ #,##0_-;&quot;fl&quot;\ #,##0\-"/>
    <numFmt numFmtId="169" formatCode="##\ ###"/>
    <numFmt numFmtId="170" formatCode="##,###"/>
    <numFmt numFmtId="171" formatCode="#,##0.0"/>
    <numFmt numFmtId="172" formatCode="###\ ###\ ###"/>
    <numFmt numFmtId="173" formatCode="0.0000"/>
    <numFmt numFmtId="174" formatCode="0.0"/>
    <numFmt numFmtId="175" formatCode="[$$-C09]#,##0.00;[Red]&quot;-&quot;[$$-C09]#,##0.00"/>
    <numFmt numFmtId="176" formatCode="_-* #,##0_-;\-* #,##0_-;_-* &quot;-&quot;??_-;_-@_-"/>
    <numFmt numFmtId="177" formatCode="##\ ###\ ###"/>
    <numFmt numFmtId="178" formatCode="#,##0\ &quot;€&quot;"/>
    <numFmt numFmtId="179" formatCode="#\ ###\ ###"/>
    <numFmt numFmtId="180" formatCode="###\ \ ###\ ###"/>
    <numFmt numFmtId="181" formatCode="##,###,##0.00;&quot;-&quot;#,###,##0.00"/>
    <numFmt numFmtId="182" formatCode="&quot;¥&quot;#,##0;[Red]&quot;¥&quot;\-#,##0"/>
    <numFmt numFmtId="183" formatCode="0.000"/>
    <numFmt numFmtId="184" formatCode="#\ ##0"/>
    <numFmt numFmtId="185" formatCode="\ #\ ##0"/>
    <numFmt numFmtId="186" formatCode="0.00_);[Red]\(0.00\)"/>
    <numFmt numFmtId="187" formatCode="0\ 000"/>
    <numFmt numFmtId="188" formatCode="0\ 000\ 000"/>
    <numFmt numFmtId="189" formatCode="000\ 000"/>
  </numFmts>
  <fonts count="156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sz val="8"/>
      <color rgb="FF000000"/>
      <name val="Arial"/>
      <family val="2"/>
    </font>
    <font>
      <b/>
      <sz val="6"/>
      <color theme="1"/>
      <name val="Arial"/>
      <family val="2"/>
    </font>
    <font>
      <sz val="7"/>
      <color rgb="FF000000"/>
      <name val="Arial"/>
      <family val="2"/>
    </font>
    <font>
      <vertAlign val="superscript"/>
      <sz val="8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name val="MetaNormalLF-Roman"/>
    </font>
    <font>
      <sz val="8"/>
      <name val="Arial"/>
      <family val="2"/>
    </font>
    <font>
      <b/>
      <sz val="8"/>
      <name val="Arial"/>
      <family val="2"/>
    </font>
    <font>
      <u/>
      <sz val="11"/>
      <color theme="10"/>
      <name val="Calibri"/>
      <family val="2"/>
      <scheme val="minor"/>
    </font>
    <font>
      <sz val="7"/>
      <name val="Arial"/>
      <family val="2"/>
    </font>
    <font>
      <b/>
      <vertAlign val="superscript"/>
      <sz val="8"/>
      <color theme="1"/>
      <name val="Arial"/>
      <family val="2"/>
    </font>
    <font>
      <vertAlign val="superscript"/>
      <sz val="7"/>
      <color rgb="FF000000"/>
      <name val="Arial"/>
      <family val="2"/>
    </font>
    <font>
      <sz val="10"/>
      <color theme="1"/>
      <name val="Arial Narrow"/>
      <family val="2"/>
    </font>
    <font>
      <b/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0"/>
      <color rgb="FF000000"/>
      <name val="Arial"/>
      <family val="2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Times New Roman"/>
      <family val="1"/>
      <charset val="204"/>
    </font>
    <font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sz val="8"/>
      <color indexed="8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0"/>
      <color indexed="52"/>
      <name val="Arial"/>
      <family val="2"/>
    </font>
    <font>
      <sz val="10"/>
      <color indexed="5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0"/>
      <name val="Arial"/>
      <family val="2"/>
    </font>
    <font>
      <b/>
      <sz val="18"/>
      <color indexed="56"/>
      <name val="Cambria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0"/>
      <color rgb="FF006100"/>
      <name val="Arial"/>
      <family val="2"/>
    </font>
    <font>
      <sz val="10"/>
      <color rgb="FF3F3F76"/>
      <name val="Arial"/>
      <family val="2"/>
    </font>
    <font>
      <sz val="10"/>
      <color rgb="FF9C0006"/>
      <name val="Arial"/>
      <family val="2"/>
    </font>
    <font>
      <b/>
      <sz val="10"/>
      <color rgb="FF3F3F3F"/>
      <name val="Arial"/>
      <family val="2"/>
    </font>
    <font>
      <u/>
      <sz val="8"/>
      <name val="Arial"/>
      <family val="2"/>
    </font>
    <font>
      <sz val="10"/>
      <name val="Arial"/>
      <family val="2"/>
    </font>
    <font>
      <sz val="11"/>
      <color indexed="60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Arial"/>
      <family val="2"/>
    </font>
    <font>
      <vertAlign val="superscript"/>
      <sz val="12"/>
      <color rgb="FF000000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indexed="8"/>
      <name val="Arial"/>
      <family val="2"/>
    </font>
    <font>
      <sz val="7"/>
      <color theme="1"/>
      <name val="Calibri"/>
      <family val="2"/>
      <scheme val="minor"/>
    </font>
    <font>
      <vertAlign val="superscript"/>
      <sz val="7"/>
      <color theme="1"/>
      <name val="Arial"/>
      <family val="2"/>
    </font>
    <font>
      <sz val="10"/>
      <color theme="1"/>
      <name val="Calibri"/>
      <family val="2"/>
      <scheme val="minor"/>
    </font>
    <font>
      <sz val="7"/>
      <name val="Calibri"/>
      <family val="2"/>
      <scheme val="minor"/>
    </font>
    <font>
      <sz val="11"/>
      <name val="Calibri"/>
      <family val="2"/>
      <scheme val="minor"/>
    </font>
    <font>
      <b/>
      <vertAlign val="superscript"/>
      <sz val="12"/>
      <color theme="1"/>
      <name val="Arial"/>
      <family val="2"/>
    </font>
    <font>
      <vertAlign val="superscript"/>
      <sz val="11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2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b/>
      <i/>
      <sz val="16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u/>
      <sz val="10"/>
      <color theme="10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i/>
      <u/>
      <sz val="11"/>
      <color theme="1"/>
      <name val="Arial"/>
      <family val="2"/>
    </font>
    <font>
      <b/>
      <i/>
      <u/>
      <sz val="10"/>
      <color rgb="FF000000"/>
      <name val="Arial"/>
      <family val="2"/>
    </font>
    <font>
      <sz val="10"/>
      <color rgb="FFFF0000"/>
      <name val="Arial"/>
      <family val="2"/>
    </font>
    <font>
      <b/>
      <sz val="12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vertAlign val="superscript"/>
      <sz val="10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Calibri"/>
      <family val="2"/>
      <scheme val="minor"/>
    </font>
    <font>
      <sz val="10"/>
      <name val="MetaNormalLF-Roman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Arial"/>
      <family val="2"/>
    </font>
    <font>
      <vertAlign val="superscript"/>
      <sz val="10"/>
      <color theme="1"/>
      <name val="Arial"/>
      <family val="2"/>
    </font>
    <font>
      <sz val="7"/>
      <color theme="1"/>
      <name val="Calibri"/>
      <family val="2"/>
    </font>
    <font>
      <vertAlign val="superscript"/>
      <sz val="7"/>
      <color theme="1"/>
      <name val="Calibri"/>
      <family val="2"/>
    </font>
    <font>
      <b/>
      <sz val="12"/>
      <name val="Arial"/>
      <family val="2"/>
    </font>
    <font>
      <b/>
      <sz val="7"/>
      <color theme="1"/>
      <name val="Calibri"/>
      <family val="2"/>
      <scheme val="minor"/>
    </font>
    <font>
      <sz val="7"/>
      <name val="Calibri"/>
      <family val="2"/>
    </font>
    <font>
      <b/>
      <sz val="22"/>
      <color theme="1"/>
      <name val="Arial"/>
      <family val="2"/>
    </font>
    <font>
      <sz val="8.5"/>
      <name val="Arial"/>
      <family val="2"/>
      <charset val="162"/>
    </font>
    <font>
      <b/>
      <sz val="12"/>
      <color rgb="FF202124"/>
      <name val="Arial"/>
      <family val="2"/>
    </font>
    <font>
      <sz val="12"/>
      <color indexed="8"/>
      <name val="Calibri"/>
      <family val="1"/>
      <charset val="204"/>
    </font>
    <font>
      <b/>
      <sz val="10"/>
      <color indexed="9"/>
      <name val="Arial"/>
      <family val="2"/>
    </font>
    <font>
      <sz val="11"/>
      <name val="ＭＳ 明朝"/>
      <family val="1"/>
      <charset val="128"/>
    </font>
    <font>
      <vertAlign val="superscript"/>
      <sz val="7"/>
      <name val="Calibri"/>
      <family val="2"/>
      <scheme val="minor"/>
    </font>
    <font>
      <b/>
      <sz val="10"/>
      <color rgb="FF444444"/>
      <name val="Arial"/>
      <family val="2"/>
    </font>
    <font>
      <sz val="10"/>
      <color rgb="FF444444"/>
      <name val="Arial"/>
      <family val="2"/>
    </font>
    <font>
      <vertAlign val="superscript"/>
      <sz val="7"/>
      <name val="Arial"/>
      <family val="2"/>
    </font>
    <font>
      <u/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2"/>
      <color theme="6" tint="-0.249977111117893"/>
      <name val="Arial"/>
      <family val="2"/>
    </font>
    <font>
      <sz val="11"/>
      <color theme="6" tint="-0.249977111117893"/>
      <name val="Calibri"/>
      <family val="2"/>
      <scheme val="minor"/>
    </font>
    <font>
      <b/>
      <sz val="10"/>
      <color theme="6" tint="-0.249977111117893"/>
      <name val="Arial"/>
      <family val="2"/>
    </font>
    <font>
      <b/>
      <sz val="8"/>
      <color theme="6" tint="-0.249977111117893"/>
      <name val="Arial"/>
      <family val="2"/>
    </font>
    <font>
      <sz val="8"/>
      <color theme="6" tint="-0.249977111117893"/>
      <name val="Arial"/>
      <family val="2"/>
    </font>
    <font>
      <vertAlign val="superscript"/>
      <sz val="14"/>
      <color rgb="FF000000"/>
      <name val="Arial"/>
      <family val="2"/>
    </font>
    <font>
      <sz val="8"/>
      <name val="Calibri"/>
      <family val="2"/>
      <scheme val="minor"/>
    </font>
    <font>
      <sz val="8"/>
      <name val="Arial"/>
      <family val="2"/>
      <charset val="238"/>
    </font>
    <font>
      <b/>
      <sz val="8"/>
      <color theme="1"/>
      <name val="Calibri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vertAlign val="superscript"/>
      <sz val="8"/>
      <color rgb="FF000000"/>
      <name val="Arial"/>
      <family val="2"/>
    </font>
    <font>
      <vertAlign val="superscript"/>
      <sz val="7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  <charset val="162"/>
    </font>
    <font>
      <b/>
      <sz val="8"/>
      <color rgb="FF000000"/>
      <name val="宋体"/>
      <charset val="134"/>
    </font>
    <font>
      <b/>
      <sz val="10"/>
      <color theme="1"/>
      <name val="Calibri"/>
      <family val="2"/>
      <scheme val="minor"/>
    </font>
    <font>
      <vertAlign val="superscript"/>
      <sz val="8"/>
      <color rgb="FF000000"/>
      <name val="Arial"/>
      <family val="2"/>
    </font>
    <font>
      <sz val="6"/>
      <color rgb="FF000000"/>
      <name val="Arial"/>
      <family val="2"/>
    </font>
    <font>
      <sz val="6"/>
      <color theme="1"/>
      <name val="Arial"/>
      <family val="2"/>
    </font>
    <font>
      <b/>
      <vertAlign val="superscript"/>
      <sz val="7"/>
      <color rgb="FF000000"/>
      <name val="Arial"/>
      <family val="2"/>
    </font>
    <font>
      <b/>
      <sz val="7"/>
      <color rgb="FF000000"/>
      <name val="Arial"/>
      <family val="2"/>
    </font>
    <font>
      <b/>
      <sz val="9"/>
      <color rgb="FF00000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6"/>
        <bgColor indexed="23"/>
      </patternFill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E6E6E6"/>
      </right>
      <top/>
      <bottom style="medium">
        <color rgb="FFC0C0C0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medium">
        <color theme="0" tint="-0.14993743705557422"/>
      </bottom>
      <diagonal/>
    </border>
    <border>
      <left/>
      <right/>
      <top style="medium">
        <color theme="0" tint="-0.14993743705557422"/>
      </top>
      <bottom style="medium">
        <color theme="0" tint="-0.14993743705557422"/>
      </bottom>
      <diagonal/>
    </border>
    <border>
      <left/>
      <right/>
      <top style="medium">
        <color theme="0" tint="-0.14993743705557422"/>
      </top>
      <bottom style="medium">
        <color theme="0" tint="-0.14990691854609822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theme="0" tint="-0.14990691854609822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n">
        <color theme="0" tint="-0.14993743705557422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theme="0" tint="-0.14990691854609822"/>
      </bottom>
      <diagonal/>
    </border>
    <border>
      <left/>
      <right/>
      <top style="thin">
        <color theme="0" tint="-0.14990691854609822"/>
      </top>
      <bottom style="thin">
        <color theme="0" tint="-0.14990691854609822"/>
      </bottom>
      <diagonal/>
    </border>
    <border>
      <left/>
      <right/>
      <top style="thin">
        <color theme="0" tint="-0.14990691854609822"/>
      </top>
      <bottom style="thin">
        <color theme="0" tint="-0.14996795556505021"/>
      </bottom>
      <diagonal/>
    </border>
    <border>
      <left/>
      <right/>
      <top style="thin">
        <color theme="0" tint="-0.14990691854609822"/>
      </top>
      <bottom/>
      <diagonal/>
    </border>
    <border>
      <left/>
      <right/>
      <top style="thin">
        <color rgb="FFEAEAEA"/>
      </top>
      <bottom style="thin">
        <color rgb="FFEAEAEA"/>
      </bottom>
      <diagonal/>
    </border>
    <border>
      <left/>
      <right/>
      <top style="thin">
        <color theme="0" tint="-0.14993743705557422"/>
      </top>
      <bottom style="thin">
        <color theme="0" tint="-0.14990691854609822"/>
      </bottom>
      <diagonal/>
    </border>
    <border>
      <left/>
      <right/>
      <top style="thin">
        <color theme="0" tint="-0.14993743705557422"/>
      </top>
      <bottom/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/>
      <bottom style="thin">
        <color theme="0" tint="-0.1498764000366222"/>
      </bottom>
      <diagonal/>
    </border>
    <border>
      <left/>
      <right/>
      <top/>
      <bottom style="medium">
        <color rgb="FFEAEAEA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rgb="FFC0C0C0"/>
      </bottom>
      <diagonal/>
    </border>
    <border>
      <left style="thin">
        <color indexed="64"/>
      </left>
      <right/>
      <top style="medium">
        <color rgb="FFC0C0C0"/>
      </top>
      <bottom/>
      <diagonal/>
    </border>
    <border>
      <left/>
      <right/>
      <top style="thin">
        <color auto="1"/>
      </top>
      <bottom style="medium">
        <color rgb="FFC0C0C0"/>
      </bottom>
      <diagonal/>
    </border>
    <border>
      <left/>
      <right/>
      <top/>
      <bottom style="medium">
        <color theme="0" tint="-0.24994659260841701"/>
      </bottom>
      <diagonal/>
    </border>
    <border>
      <left/>
      <right/>
      <top style="medium">
        <color theme="0" tint="-0.14993743705557422"/>
      </top>
      <bottom/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theme="2"/>
      </left>
      <right style="thin">
        <color theme="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0" tint="-0.14996795556505021"/>
      </top>
      <bottom style="thin">
        <color theme="2"/>
      </bottom>
      <diagonal/>
    </border>
    <border>
      <left style="thin">
        <color theme="2"/>
      </left>
      <right/>
      <top style="thin">
        <color theme="0" tint="-0.14996795556505021"/>
      </top>
      <bottom/>
      <diagonal/>
    </border>
    <border>
      <left/>
      <right/>
      <top style="thin">
        <color theme="2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rgb="FFC0C0C0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rgb="FFD9D9D9"/>
      </bottom>
      <diagonal/>
    </border>
  </borders>
  <cellStyleXfs count="669">
    <xf numFmtId="0" fontId="0" fillId="0" borderId="0"/>
    <xf numFmtId="0" fontId="16" fillId="0" borderId="0"/>
    <xf numFmtId="0" fontId="19" fillId="0" borderId="0" applyNumberFormat="0" applyFill="0" applyBorder="0" applyAlignment="0" applyProtection="0"/>
    <xf numFmtId="0" fontId="25" fillId="0" borderId="0"/>
    <xf numFmtId="0" fontId="28" fillId="0" borderId="0"/>
    <xf numFmtId="38" fontId="29" fillId="0" borderId="0" applyFont="0" applyFill="0" applyBorder="0" applyAlignment="0" applyProtection="0"/>
    <xf numFmtId="0" fontId="34" fillId="0" borderId="0"/>
    <xf numFmtId="0" fontId="17" fillId="0" borderId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3" borderId="0" applyNumberFormat="0" applyBorder="0" applyAlignment="0" applyProtection="0"/>
    <xf numFmtId="0" fontId="44" fillId="23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36" fillId="12" borderId="4" applyNumberFormat="0" applyAlignment="0" applyProtection="0"/>
    <xf numFmtId="0" fontId="36" fillId="12" borderId="4" applyNumberFormat="0" applyAlignment="0" applyProtection="0"/>
    <xf numFmtId="0" fontId="36" fillId="12" borderId="4" applyNumberFormat="0" applyAlignment="0" applyProtection="0"/>
    <xf numFmtId="0" fontId="36" fillId="12" borderId="4" applyNumberFormat="0" applyAlignment="0" applyProtection="0"/>
    <xf numFmtId="0" fontId="36" fillId="12" borderId="4" applyNumberFormat="0" applyAlignment="0" applyProtection="0"/>
    <xf numFmtId="0" fontId="36" fillId="12" borderId="4" applyNumberFormat="0" applyAlignment="0" applyProtection="0"/>
    <xf numFmtId="0" fontId="36" fillId="12" borderId="4" applyNumberFormat="0" applyAlignment="0" applyProtection="0"/>
    <xf numFmtId="0" fontId="36" fillId="12" borderId="4" applyNumberFormat="0" applyAlignment="0" applyProtection="0"/>
    <xf numFmtId="0" fontId="36" fillId="12" borderId="4" applyNumberFormat="0" applyAlignment="0" applyProtection="0"/>
    <xf numFmtId="0" fontId="36" fillId="12" borderId="4" applyNumberFormat="0" applyAlignment="0" applyProtection="0"/>
    <xf numFmtId="0" fontId="36" fillId="12" borderId="4" applyNumberFormat="0" applyAlignment="0" applyProtection="0"/>
    <xf numFmtId="0" fontId="36" fillId="12" borderId="4" applyNumberFormat="0" applyAlignment="0" applyProtection="0"/>
    <xf numFmtId="0" fontId="36" fillId="12" borderId="4" applyNumberFormat="0" applyAlignment="0" applyProtection="0"/>
    <xf numFmtId="0" fontId="36" fillId="12" borderId="4" applyNumberFormat="0" applyAlignment="0" applyProtection="0"/>
    <xf numFmtId="0" fontId="36" fillId="12" borderId="4" applyNumberFormat="0" applyAlignment="0" applyProtection="0"/>
    <xf numFmtId="0" fontId="36" fillId="12" borderId="4" applyNumberFormat="0" applyAlignment="0" applyProtection="0"/>
    <xf numFmtId="0" fontId="36" fillId="12" borderId="4" applyNumberFormat="0" applyAlignment="0" applyProtection="0"/>
    <xf numFmtId="0" fontId="36" fillId="12" borderId="4" applyNumberFormat="0" applyAlignment="0" applyProtection="0"/>
    <xf numFmtId="0" fontId="36" fillId="12" borderId="4" applyNumberFormat="0" applyAlignment="0" applyProtection="0"/>
    <xf numFmtId="0" fontId="36" fillId="12" borderId="4" applyNumberFormat="0" applyAlignment="0" applyProtection="0"/>
    <xf numFmtId="167" fontId="15" fillId="0" borderId="0" applyFont="0" applyFill="0" applyBorder="0" applyAlignment="0" applyProtection="0"/>
    <xf numFmtId="0" fontId="37" fillId="0" borderId="8" applyNumberFormat="0" applyFill="0" applyAlignment="0" applyProtection="0"/>
    <xf numFmtId="0" fontId="37" fillId="0" borderId="8" applyNumberFormat="0" applyFill="0" applyAlignment="0" applyProtection="0"/>
    <xf numFmtId="0" fontId="37" fillId="0" borderId="8" applyNumberFormat="0" applyFill="0" applyAlignment="0" applyProtection="0"/>
    <xf numFmtId="0" fontId="37" fillId="0" borderId="8" applyNumberFormat="0" applyFill="0" applyAlignment="0" applyProtection="0"/>
    <xf numFmtId="0" fontId="37" fillId="0" borderId="8" applyNumberFormat="0" applyFill="0" applyAlignment="0" applyProtection="0"/>
    <xf numFmtId="0" fontId="37" fillId="0" borderId="8" applyNumberFormat="0" applyFill="0" applyAlignment="0" applyProtection="0"/>
    <xf numFmtId="0" fontId="37" fillId="0" borderId="8" applyNumberFormat="0" applyFill="0" applyAlignment="0" applyProtection="0"/>
    <xf numFmtId="0" fontId="37" fillId="0" borderId="8" applyNumberFormat="0" applyFill="0" applyAlignment="0" applyProtection="0"/>
    <xf numFmtId="0" fontId="37" fillId="0" borderId="8" applyNumberFormat="0" applyFill="0" applyAlignment="0" applyProtection="0"/>
    <xf numFmtId="0" fontId="37" fillId="0" borderId="8" applyNumberFormat="0" applyFill="0" applyAlignment="0" applyProtection="0"/>
    <xf numFmtId="0" fontId="37" fillId="0" borderId="8" applyNumberFormat="0" applyFill="0" applyAlignment="0" applyProtection="0"/>
    <xf numFmtId="0" fontId="37" fillId="0" borderId="8" applyNumberFormat="0" applyFill="0" applyAlignment="0" applyProtection="0"/>
    <xf numFmtId="0" fontId="37" fillId="0" borderId="8" applyNumberFormat="0" applyFill="0" applyAlignment="0" applyProtection="0"/>
    <xf numFmtId="0" fontId="37" fillId="0" borderId="8" applyNumberFormat="0" applyFill="0" applyAlignment="0" applyProtection="0"/>
    <xf numFmtId="0" fontId="37" fillId="0" borderId="8" applyNumberFormat="0" applyFill="0" applyAlignment="0" applyProtection="0"/>
    <xf numFmtId="0" fontId="37" fillId="0" borderId="8" applyNumberFormat="0" applyFill="0" applyAlignment="0" applyProtection="0"/>
    <xf numFmtId="0" fontId="37" fillId="0" borderId="8" applyNumberFormat="0" applyFill="0" applyAlignment="0" applyProtection="0"/>
    <xf numFmtId="0" fontId="37" fillId="0" borderId="8" applyNumberFormat="0" applyFill="0" applyAlignment="0" applyProtection="0"/>
    <xf numFmtId="0" fontId="37" fillId="0" borderId="8" applyNumberFormat="0" applyFill="0" applyAlignment="0" applyProtection="0"/>
    <xf numFmtId="0" fontId="37" fillId="0" borderId="8" applyNumberFormat="0" applyFill="0" applyAlignment="0" applyProtection="0"/>
    <xf numFmtId="0" fontId="45" fillId="10" borderId="0" applyNumberFormat="0" applyBorder="0" applyAlignment="0" applyProtection="0"/>
    <xf numFmtId="0" fontId="45" fillId="10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6" fillId="12" borderId="4" applyNumberFormat="0" applyAlignment="0" applyProtection="0"/>
    <xf numFmtId="0" fontId="46" fillId="12" borderId="4" applyNumberFormat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6" borderId="0" applyNumberFormat="0" applyBorder="0" applyAlignment="0" applyProtection="0"/>
    <xf numFmtId="0" fontId="41" fillId="6" borderId="0" applyNumberFormat="0" applyBorder="0" applyAlignment="0" applyProtection="0"/>
    <xf numFmtId="0" fontId="41" fillId="6" borderId="0" applyNumberFormat="0" applyBorder="0" applyAlignment="0" applyProtection="0"/>
    <xf numFmtId="0" fontId="41" fillId="6" borderId="0" applyNumberFormat="0" applyBorder="0" applyAlignment="0" applyProtection="0"/>
    <xf numFmtId="0" fontId="41" fillId="6" borderId="0" applyNumberFormat="0" applyBorder="0" applyAlignment="0" applyProtection="0"/>
    <xf numFmtId="0" fontId="41" fillId="6" borderId="0" applyNumberFormat="0" applyBorder="0" applyAlignment="0" applyProtection="0"/>
    <xf numFmtId="0" fontId="41" fillId="6" borderId="0" applyNumberFormat="0" applyBorder="0" applyAlignment="0" applyProtection="0"/>
    <xf numFmtId="0" fontId="41" fillId="6" borderId="0" applyNumberFormat="0" applyBorder="0" applyAlignment="0" applyProtection="0"/>
    <xf numFmtId="0" fontId="41" fillId="6" borderId="0" applyNumberFormat="0" applyBorder="0" applyAlignment="0" applyProtection="0"/>
    <xf numFmtId="0" fontId="41" fillId="6" borderId="0" applyNumberFormat="0" applyBorder="0" applyAlignment="0" applyProtection="0"/>
    <xf numFmtId="0" fontId="41" fillId="6" borderId="0" applyNumberFormat="0" applyBorder="0" applyAlignment="0" applyProtection="0"/>
    <xf numFmtId="0" fontId="41" fillId="6" borderId="0" applyNumberFormat="0" applyBorder="0" applyAlignment="0" applyProtection="0"/>
    <xf numFmtId="0" fontId="41" fillId="6" borderId="0" applyNumberFormat="0" applyBorder="0" applyAlignment="0" applyProtection="0"/>
    <xf numFmtId="0" fontId="41" fillId="6" borderId="0" applyNumberFormat="0" applyBorder="0" applyAlignment="0" applyProtection="0"/>
    <xf numFmtId="0" fontId="41" fillId="6" borderId="0" applyNumberFormat="0" applyBorder="0" applyAlignment="0" applyProtection="0"/>
    <xf numFmtId="0" fontId="41" fillId="6" borderId="0" applyNumberFormat="0" applyBorder="0" applyAlignment="0" applyProtection="0"/>
    <xf numFmtId="0" fontId="41" fillId="6" borderId="0" applyNumberFormat="0" applyBorder="0" applyAlignment="0" applyProtection="0"/>
    <xf numFmtId="0" fontId="41" fillId="6" borderId="0" applyNumberFormat="0" applyBorder="0" applyAlignment="0" applyProtection="0"/>
    <xf numFmtId="0" fontId="41" fillId="6" borderId="0" applyNumberFormat="0" applyBorder="0" applyAlignment="0" applyProtection="0"/>
    <xf numFmtId="0" fontId="41" fillId="6" borderId="0" applyNumberFormat="0" applyBorder="0" applyAlignment="0" applyProtection="0"/>
    <xf numFmtId="0" fontId="31" fillId="7" borderId="6" applyNumberFormat="0" applyFont="0" applyAlignment="0" applyProtection="0"/>
    <xf numFmtId="0" fontId="31" fillId="7" borderId="6" applyNumberFormat="0" applyFont="0" applyAlignment="0" applyProtection="0"/>
    <xf numFmtId="0" fontId="31" fillId="7" borderId="6" applyNumberFormat="0" applyFont="0" applyAlignment="0" applyProtection="0"/>
    <xf numFmtId="0" fontId="31" fillId="7" borderId="6" applyNumberFormat="0" applyFont="0" applyAlignment="0" applyProtection="0"/>
    <xf numFmtId="0" fontId="31" fillId="7" borderId="6" applyNumberFormat="0" applyFont="0" applyAlignment="0" applyProtection="0"/>
    <xf numFmtId="0" fontId="31" fillId="7" borderId="6" applyNumberFormat="0" applyFont="0" applyAlignment="0" applyProtection="0"/>
    <xf numFmtId="0" fontId="31" fillId="7" borderId="6" applyNumberFormat="0" applyFont="0" applyAlignment="0" applyProtection="0"/>
    <xf numFmtId="0" fontId="31" fillId="7" borderId="6" applyNumberFormat="0" applyFont="0" applyAlignment="0" applyProtection="0"/>
    <xf numFmtId="0" fontId="31" fillId="7" borderId="6" applyNumberFormat="0" applyFont="0" applyAlignment="0" applyProtection="0"/>
    <xf numFmtId="0" fontId="31" fillId="7" borderId="6" applyNumberFormat="0" applyFont="0" applyAlignment="0" applyProtection="0"/>
    <xf numFmtId="0" fontId="31" fillId="7" borderId="6" applyNumberFormat="0" applyFont="0" applyAlignment="0" applyProtection="0"/>
    <xf numFmtId="0" fontId="31" fillId="7" borderId="6" applyNumberFormat="0" applyFont="0" applyAlignment="0" applyProtection="0"/>
    <xf numFmtId="0" fontId="31" fillId="7" borderId="6" applyNumberFormat="0" applyFont="0" applyAlignment="0" applyProtection="0"/>
    <xf numFmtId="0" fontId="31" fillId="7" borderId="6" applyNumberFormat="0" applyFont="0" applyAlignment="0" applyProtection="0"/>
    <xf numFmtId="0" fontId="31" fillId="7" borderId="6" applyNumberFormat="0" applyFont="0" applyAlignment="0" applyProtection="0"/>
    <xf numFmtId="0" fontId="31" fillId="7" borderId="6" applyNumberFormat="0" applyFont="0" applyAlignment="0" applyProtection="0"/>
    <xf numFmtId="0" fontId="31" fillId="7" borderId="6" applyNumberFormat="0" applyFont="0" applyAlignment="0" applyProtection="0"/>
    <xf numFmtId="0" fontId="31" fillId="7" borderId="6" applyNumberFormat="0" applyFont="0" applyAlignment="0" applyProtection="0"/>
    <xf numFmtId="0" fontId="31" fillId="7" borderId="6" applyNumberFormat="0" applyFont="0" applyAlignment="0" applyProtection="0"/>
    <xf numFmtId="0" fontId="31" fillId="7" borderId="6" applyNumberFormat="0" applyFont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35" fillId="0" borderId="0" applyProtection="0"/>
    <xf numFmtId="0" fontId="35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5" fillId="0" borderId="0" applyProtection="0"/>
    <xf numFmtId="0" fontId="15" fillId="0" borderId="0"/>
    <xf numFmtId="0" fontId="35" fillId="0" borderId="0" applyProtection="0"/>
    <xf numFmtId="0" fontId="35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5" fillId="0" borderId="0" applyProtection="0"/>
    <xf numFmtId="0" fontId="15" fillId="0" borderId="0"/>
    <xf numFmtId="0" fontId="15" fillId="0" borderId="0"/>
    <xf numFmtId="0" fontId="35" fillId="0" borderId="0" applyProtection="0"/>
    <xf numFmtId="0" fontId="35" fillId="0" borderId="0" applyProtection="0"/>
    <xf numFmtId="0" fontId="17" fillId="0" borderId="0"/>
    <xf numFmtId="0" fontId="2" fillId="0" borderId="0"/>
    <xf numFmtId="0" fontId="2" fillId="0" borderId="0"/>
    <xf numFmtId="0" fontId="17" fillId="0" borderId="0"/>
    <xf numFmtId="0" fontId="35" fillId="0" borderId="0" applyProtection="0"/>
    <xf numFmtId="0" fontId="35" fillId="0" borderId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48" fillId="12" borderId="5" applyNumberFormat="0" applyAlignment="0" applyProtection="0"/>
    <xf numFmtId="0" fontId="48" fillId="12" borderId="5" applyNumberFormat="0" applyAlignment="0" applyProtection="0"/>
    <xf numFmtId="0" fontId="15" fillId="0" borderId="0"/>
    <xf numFmtId="0" fontId="25" fillId="0" borderId="0"/>
    <xf numFmtId="0" fontId="50" fillId="0" borderId="0"/>
    <xf numFmtId="0" fontId="28" fillId="0" borderId="0"/>
    <xf numFmtId="0" fontId="25" fillId="0" borderId="0"/>
    <xf numFmtId="0" fontId="19" fillId="0" borderId="0" applyNumberFormat="0" applyFill="0" applyBorder="0" applyAlignment="0" applyProtection="0"/>
    <xf numFmtId="0" fontId="15" fillId="0" borderId="0"/>
    <xf numFmtId="0" fontId="51" fillId="25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12" applyNumberFormat="0" applyFill="0" applyAlignment="0" applyProtection="0"/>
    <xf numFmtId="0" fontId="54" fillId="0" borderId="13" applyNumberFormat="0" applyFill="0" applyAlignment="0" applyProtection="0"/>
    <xf numFmtId="0" fontId="55" fillId="0" borderId="14" applyNumberFormat="0" applyFill="0" applyAlignment="0" applyProtection="0"/>
    <xf numFmtId="0" fontId="55" fillId="0" borderId="0" applyNumberFormat="0" applyFill="0" applyBorder="0" applyAlignment="0" applyProtection="0"/>
    <xf numFmtId="0" fontId="56" fillId="26" borderId="0" applyNumberFormat="0" applyBorder="0" applyAlignment="0" applyProtection="0"/>
    <xf numFmtId="0" fontId="57" fillId="27" borderId="0" applyNumberFormat="0" applyBorder="0" applyAlignment="0" applyProtection="0"/>
    <xf numFmtId="0" fontId="58" fillId="6" borderId="0" applyNumberFormat="0" applyBorder="0" applyAlignment="0" applyProtection="0"/>
    <xf numFmtId="0" fontId="59" fillId="28" borderId="4" applyNumberFormat="0" applyAlignment="0" applyProtection="0"/>
    <xf numFmtId="0" fontId="60" fillId="29" borderId="5" applyNumberFormat="0" applyAlignment="0" applyProtection="0"/>
    <xf numFmtId="0" fontId="61" fillId="29" borderId="4" applyNumberFormat="0" applyAlignment="0" applyProtection="0"/>
    <xf numFmtId="0" fontId="62" fillId="0" borderId="15" applyNumberFormat="0" applyFill="0" applyAlignment="0" applyProtection="0"/>
    <xf numFmtId="0" fontId="63" fillId="30" borderId="16" applyNumberFormat="0" applyAlignment="0" applyProtection="0"/>
    <xf numFmtId="0" fontId="32" fillId="0" borderId="0" applyNumberFormat="0" applyFill="0" applyBorder="0" applyAlignment="0" applyProtection="0"/>
    <xf numFmtId="0" fontId="25" fillId="7" borderId="6" applyNumberFormat="0" applyFont="0" applyAlignment="0" applyProtection="0"/>
    <xf numFmtId="0" fontId="64" fillId="0" borderId="0" applyNumberFormat="0" applyFill="0" applyBorder="0" applyAlignment="0" applyProtection="0"/>
    <xf numFmtId="0" fontId="13" fillId="0" borderId="17" applyNumberFormat="0" applyFill="0" applyAlignment="0" applyProtection="0"/>
    <xf numFmtId="0" fontId="65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65" fillId="34" borderId="0" applyNumberFormat="0" applyBorder="0" applyAlignment="0" applyProtection="0"/>
    <xf numFmtId="0" fontId="6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7" borderId="0" applyNumberFormat="0" applyBorder="0" applyAlignment="0" applyProtection="0"/>
    <xf numFmtId="0" fontId="65" fillId="38" borderId="0" applyNumberFormat="0" applyBorder="0" applyAlignment="0" applyProtection="0"/>
    <xf numFmtId="0" fontId="65" fillId="39" borderId="0" applyNumberFormat="0" applyBorder="0" applyAlignment="0" applyProtection="0"/>
    <xf numFmtId="0" fontId="25" fillId="40" borderId="0" applyNumberFormat="0" applyBorder="0" applyAlignment="0" applyProtection="0"/>
    <xf numFmtId="0" fontId="25" fillId="41" borderId="0" applyNumberFormat="0" applyBorder="0" applyAlignment="0" applyProtection="0"/>
    <xf numFmtId="0" fontId="65" fillId="42" borderId="0" applyNumberFormat="0" applyBorder="0" applyAlignment="0" applyProtection="0"/>
    <xf numFmtId="0" fontId="65" fillId="43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65" fillId="46" borderId="0" applyNumberFormat="0" applyBorder="0" applyAlignment="0" applyProtection="0"/>
    <xf numFmtId="0" fontId="6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65" fillId="50" borderId="0" applyNumberFormat="0" applyBorder="0" applyAlignment="0" applyProtection="0"/>
    <xf numFmtId="0" fontId="65" fillId="51" borderId="0" applyNumberFormat="0" applyBorder="0" applyAlignment="0" applyProtection="0"/>
    <xf numFmtId="0" fontId="25" fillId="52" borderId="0" applyNumberFormat="0" applyBorder="0" applyAlignment="0" applyProtection="0"/>
    <xf numFmtId="0" fontId="25" fillId="53" borderId="0" applyNumberFormat="0" applyBorder="0" applyAlignment="0" applyProtection="0"/>
    <xf numFmtId="0" fontId="65" fillId="54" borderId="0" applyNumberFormat="0" applyBorder="0" applyAlignment="0" applyProtection="0"/>
    <xf numFmtId="38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0" fontId="14" fillId="0" borderId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" fillId="32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" fillId="36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" fillId="40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" fillId="44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" fillId="48" borderId="0" applyNumberFormat="0" applyBorder="0" applyAlignment="0" applyProtection="0"/>
    <xf numFmtId="0" fontId="25" fillId="52" borderId="0" applyNumberFormat="0" applyBorder="0" applyAlignment="0" applyProtection="0"/>
    <xf numFmtId="0" fontId="25" fillId="52" borderId="0" applyNumberFormat="0" applyBorder="0" applyAlignment="0" applyProtection="0"/>
    <xf numFmtId="0" fontId="25" fillId="52" borderId="0" applyNumberFormat="0" applyBorder="0" applyAlignment="0" applyProtection="0"/>
    <xf numFmtId="0" fontId="25" fillId="52" borderId="0" applyNumberFormat="0" applyBorder="0" applyAlignment="0" applyProtection="0"/>
    <xf numFmtId="0" fontId="25" fillId="52" borderId="0" applyNumberFormat="0" applyBorder="0" applyAlignment="0" applyProtection="0"/>
    <xf numFmtId="0" fontId="2" fillId="52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" fillId="33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" fillId="37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" fillId="41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" fillId="45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" fillId="49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" fillId="53" borderId="0" applyNumberFormat="0" applyBorder="0" applyAlignment="0" applyProtection="0"/>
    <xf numFmtId="0" fontId="44" fillId="34" borderId="0" applyNumberFormat="0" applyBorder="0" applyAlignment="0" applyProtection="0"/>
    <xf numFmtId="0" fontId="44" fillId="38" borderId="0" applyNumberFormat="0" applyBorder="0" applyAlignment="0" applyProtection="0"/>
    <xf numFmtId="0" fontId="44" fillId="42" borderId="0" applyNumberFormat="0" applyBorder="0" applyAlignment="0" applyProtection="0"/>
    <xf numFmtId="0" fontId="44" fillId="46" borderId="0" applyNumberFormat="0" applyBorder="0" applyAlignment="0" applyProtection="0"/>
    <xf numFmtId="0" fontId="44" fillId="50" borderId="0" applyNumberFormat="0" applyBorder="0" applyAlignment="0" applyProtection="0"/>
    <xf numFmtId="0" fontId="44" fillId="54" borderId="0" applyNumberFormat="0" applyBorder="0" applyAlignment="0" applyProtection="0"/>
    <xf numFmtId="0" fontId="44" fillId="31" borderId="0" applyNumberFormat="0" applyBorder="0" applyAlignment="0" applyProtection="0"/>
    <xf numFmtId="0" fontId="44" fillId="35" borderId="0" applyNumberFormat="0" applyBorder="0" applyAlignment="0" applyProtection="0"/>
    <xf numFmtId="0" fontId="44" fillId="39" borderId="0" applyNumberFormat="0" applyBorder="0" applyAlignment="0" applyProtection="0"/>
    <xf numFmtId="0" fontId="44" fillId="43" borderId="0" applyNumberFormat="0" applyBorder="0" applyAlignment="0" applyProtection="0"/>
    <xf numFmtId="0" fontId="44" fillId="47" borderId="0" applyNumberFormat="0" applyBorder="0" applyAlignment="0" applyProtection="0"/>
    <xf numFmtId="0" fontId="44" fillId="51" borderId="0" applyNumberFormat="0" applyBorder="0" applyAlignment="0" applyProtection="0"/>
    <xf numFmtId="0" fontId="47" fillId="27" borderId="0" applyNumberFormat="0" applyBorder="0" applyAlignment="0" applyProtection="0"/>
    <xf numFmtId="0" fontId="86" fillId="29" borderId="4" applyNumberFormat="0" applyAlignment="0" applyProtection="0"/>
    <xf numFmtId="0" fontId="87" fillId="30" borderId="16" applyNumberFormat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88" fillId="0" borderId="0" applyNumberFormat="0" applyFill="0" applyBorder="0" applyAlignment="0" applyProtection="0"/>
    <xf numFmtId="0" fontId="45" fillId="26" borderId="0" applyNumberFormat="0" applyBorder="0" applyAlignment="0" applyProtection="0"/>
    <xf numFmtId="0" fontId="89" fillId="0" borderId="0">
      <alignment horizontal="center"/>
    </xf>
    <xf numFmtId="0" fontId="90" fillId="0" borderId="12" applyNumberFormat="0" applyFill="0" applyAlignment="0" applyProtection="0"/>
    <xf numFmtId="0" fontId="91" fillId="0" borderId="13" applyNumberFormat="0" applyFill="0" applyAlignment="0" applyProtection="0"/>
    <xf numFmtId="0" fontId="92" fillId="0" borderId="14" applyNumberFormat="0" applyFill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Protection="0">
      <alignment horizontal="center"/>
    </xf>
    <xf numFmtId="0" fontId="89" fillId="0" borderId="0">
      <alignment horizontal="center"/>
    </xf>
    <xf numFmtId="0" fontId="93" fillId="0" borderId="0" applyNumberFormat="0" applyFill="0" applyBorder="0" applyProtection="0">
      <alignment horizontal="center"/>
    </xf>
    <xf numFmtId="0" fontId="89" fillId="0" borderId="0">
      <alignment horizontal="center" textRotation="90"/>
    </xf>
    <xf numFmtId="0" fontId="93" fillId="0" borderId="0" applyNumberFormat="0" applyFill="0" applyBorder="0" applyProtection="0">
      <alignment horizontal="center" textRotation="90"/>
    </xf>
    <xf numFmtId="0" fontId="89" fillId="0" borderId="0">
      <alignment horizontal="center" textRotation="90"/>
    </xf>
    <xf numFmtId="0" fontId="93" fillId="0" borderId="0" applyNumberFormat="0" applyFill="0" applyBorder="0" applyProtection="0">
      <alignment horizontal="center" textRotation="90"/>
    </xf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46" fillId="28" borderId="4" applyNumberFormat="0" applyAlignment="0" applyProtection="0"/>
    <xf numFmtId="0" fontId="96" fillId="0" borderId="15" applyNumberFormat="0" applyFill="0" applyAlignment="0" applyProtection="0"/>
    <xf numFmtId="0" fontId="97" fillId="6" borderId="0" applyNumberFormat="0" applyBorder="0" applyAlignment="0" applyProtection="0"/>
    <xf numFmtId="0" fontId="25" fillId="0" borderId="0"/>
    <xf numFmtId="0" fontId="25" fillId="0" borderId="0"/>
    <xf numFmtId="0" fontId="25" fillId="0" borderId="0"/>
    <xf numFmtId="0" fontId="14" fillId="0" borderId="0"/>
    <xf numFmtId="0" fontId="14" fillId="0" borderId="0"/>
    <xf numFmtId="0" fontId="25" fillId="0" borderId="0"/>
    <xf numFmtId="0" fontId="14" fillId="0" borderId="0"/>
    <xf numFmtId="0" fontId="25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4" fillId="0" borderId="0"/>
    <xf numFmtId="0" fontId="2" fillId="0" borderId="0"/>
    <xf numFmtId="0" fontId="14" fillId="0" borderId="0"/>
    <xf numFmtId="0" fontId="25" fillId="0" borderId="0"/>
    <xf numFmtId="0" fontId="25" fillId="0" borderId="0"/>
    <xf numFmtId="0" fontId="85" fillId="0" borderId="0"/>
    <xf numFmtId="0" fontId="25" fillId="0" borderId="0"/>
    <xf numFmtId="0" fontId="25" fillId="0" borderId="0"/>
    <xf numFmtId="0" fontId="25" fillId="0" borderId="0"/>
    <xf numFmtId="0" fontId="14" fillId="0" borderId="0"/>
    <xf numFmtId="0" fontId="25" fillId="0" borderId="0"/>
    <xf numFmtId="0" fontId="2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85" fillId="0" borderId="0"/>
    <xf numFmtId="0" fontId="15" fillId="0" borderId="0"/>
    <xf numFmtId="0" fontId="25" fillId="0" borderId="0"/>
    <xf numFmtId="0" fontId="25" fillId="0" borderId="0"/>
    <xf numFmtId="0" fontId="25" fillId="7" borderId="6" applyNumberFormat="0" applyFont="0" applyAlignment="0" applyProtection="0"/>
    <xf numFmtId="0" fontId="25" fillId="7" borderId="6" applyNumberFormat="0" applyFont="0" applyAlignment="0" applyProtection="0"/>
    <xf numFmtId="0" fontId="25" fillId="7" borderId="6" applyNumberFormat="0" applyFont="0" applyAlignment="0" applyProtection="0"/>
    <xf numFmtId="0" fontId="25" fillId="7" borderId="6" applyNumberFormat="0" applyFont="0" applyAlignment="0" applyProtection="0"/>
    <xf numFmtId="0" fontId="2" fillId="7" borderId="6" applyNumberFormat="0" applyFont="0" applyAlignment="0" applyProtection="0"/>
    <xf numFmtId="0" fontId="25" fillId="7" borderId="6" applyNumberFormat="0" applyFont="0" applyAlignment="0" applyProtection="0"/>
    <xf numFmtId="0" fontId="25" fillId="7" borderId="6" applyNumberFormat="0" applyFont="0" applyAlignment="0" applyProtection="0"/>
    <xf numFmtId="0" fontId="25" fillId="7" borderId="6" applyNumberFormat="0" applyFont="0" applyAlignment="0" applyProtection="0"/>
    <xf numFmtId="0" fontId="25" fillId="7" borderId="6" applyNumberFormat="0" applyFont="0" applyAlignment="0" applyProtection="0"/>
    <xf numFmtId="0" fontId="25" fillId="7" borderId="6" applyNumberFormat="0" applyFont="0" applyAlignment="0" applyProtection="0"/>
    <xf numFmtId="0" fontId="25" fillId="7" borderId="6" applyNumberFormat="0" applyFont="0" applyAlignment="0" applyProtection="0"/>
    <xf numFmtId="0" fontId="25" fillId="7" borderId="6" applyNumberFormat="0" applyFont="0" applyAlignment="0" applyProtection="0"/>
    <xf numFmtId="0" fontId="25" fillId="7" borderId="6" applyNumberFormat="0" applyFont="0" applyAlignment="0" applyProtection="0"/>
    <xf numFmtId="0" fontId="25" fillId="7" borderId="6" applyNumberFormat="0" applyFont="0" applyAlignment="0" applyProtection="0"/>
    <xf numFmtId="0" fontId="25" fillId="7" borderId="6" applyNumberFormat="0" applyFont="0" applyAlignment="0" applyProtection="0"/>
    <xf numFmtId="0" fontId="25" fillId="7" borderId="6" applyNumberFormat="0" applyFont="0" applyAlignment="0" applyProtection="0"/>
    <xf numFmtId="0" fontId="25" fillId="7" borderId="6" applyNumberFormat="0" applyFont="0" applyAlignment="0" applyProtection="0"/>
    <xf numFmtId="0" fontId="48" fillId="29" borderId="5" applyNumberFormat="0" applyAlignment="0" applyProtection="0"/>
    <xf numFmtId="0" fontId="98" fillId="0" borderId="0"/>
    <xf numFmtId="0" fontId="99" fillId="0" borderId="0" applyNumberFormat="0" applyFill="0" applyBorder="0" applyAlignment="0" applyProtection="0"/>
    <xf numFmtId="0" fontId="98" fillId="0" borderId="0"/>
    <xf numFmtId="0" fontId="99" fillId="0" borderId="0" applyNumberFormat="0" applyFill="0" applyBorder="0" applyAlignment="0" applyProtection="0"/>
    <xf numFmtId="175" fontId="98" fillId="0" borderId="0"/>
    <xf numFmtId="175" fontId="99" fillId="0" borderId="0" applyFill="0" applyBorder="0" applyAlignment="0" applyProtection="0"/>
    <xf numFmtId="175" fontId="98" fillId="0" borderId="0"/>
    <xf numFmtId="175" fontId="99" fillId="0" borderId="0" applyFill="0" applyBorder="0" applyAlignment="0" applyProtection="0"/>
    <xf numFmtId="0" fontId="12" fillId="0" borderId="17" applyNumberFormat="0" applyFill="0" applyAlignment="0" applyProtection="0"/>
    <xf numFmtId="0" fontId="100" fillId="0" borderId="0" applyNumberFormat="0" applyFill="0" applyBorder="0" applyAlignment="0" applyProtection="0"/>
    <xf numFmtId="0" fontId="25" fillId="32" borderId="0" applyNumberFormat="0" applyBorder="0" applyAlignment="0" applyProtection="0"/>
    <xf numFmtId="0" fontId="2" fillId="32" borderId="0" applyNumberFormat="0" applyBorder="0" applyAlignment="0" applyProtection="0"/>
    <xf numFmtId="0" fontId="25" fillId="36" borderId="0" applyNumberFormat="0" applyBorder="0" applyAlignment="0" applyProtection="0"/>
    <xf numFmtId="0" fontId="2" fillId="36" borderId="0" applyNumberFormat="0" applyBorder="0" applyAlignment="0" applyProtection="0"/>
    <xf numFmtId="0" fontId="25" fillId="40" borderId="0" applyNumberFormat="0" applyBorder="0" applyAlignment="0" applyProtection="0"/>
    <xf numFmtId="0" fontId="2" fillId="40" borderId="0" applyNumberFormat="0" applyBorder="0" applyAlignment="0" applyProtection="0"/>
    <xf numFmtId="0" fontId="25" fillId="44" borderId="0" applyNumberFormat="0" applyBorder="0" applyAlignment="0" applyProtection="0"/>
    <xf numFmtId="0" fontId="2" fillId="44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" fillId="48" borderId="0" applyNumberFormat="0" applyBorder="0" applyAlignment="0" applyProtection="0"/>
    <xf numFmtId="0" fontId="25" fillId="52" borderId="0" applyNumberFormat="0" applyBorder="0" applyAlignment="0" applyProtection="0"/>
    <xf numFmtId="0" fontId="2" fillId="52" borderId="0" applyNumberFormat="0" applyBorder="0" applyAlignment="0" applyProtection="0"/>
    <xf numFmtId="0" fontId="25" fillId="33" borderId="0" applyNumberFormat="0" applyBorder="0" applyAlignment="0" applyProtection="0"/>
    <xf numFmtId="0" fontId="2" fillId="33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" fillId="37" borderId="0" applyNumberFormat="0" applyBorder="0" applyAlignment="0" applyProtection="0"/>
    <xf numFmtId="0" fontId="25" fillId="41" borderId="0" applyNumberFormat="0" applyBorder="0" applyAlignment="0" applyProtection="0"/>
    <xf numFmtId="0" fontId="2" fillId="41" borderId="0" applyNumberFormat="0" applyBorder="0" applyAlignment="0" applyProtection="0"/>
    <xf numFmtId="0" fontId="25" fillId="45" borderId="0" applyNumberFormat="0" applyBorder="0" applyAlignment="0" applyProtection="0"/>
    <xf numFmtId="0" fontId="2" fillId="45" borderId="0" applyNumberFormat="0" applyBorder="0" applyAlignment="0" applyProtection="0"/>
    <xf numFmtId="0" fontId="25" fillId="49" borderId="0" applyNumberFormat="0" applyBorder="0" applyAlignment="0" applyProtection="0"/>
    <xf numFmtId="0" fontId="2" fillId="49" borderId="0" applyNumberFormat="0" applyBorder="0" applyAlignment="0" applyProtection="0"/>
    <xf numFmtId="0" fontId="25" fillId="53" borderId="0" applyNumberFormat="0" applyBorder="0" applyAlignment="0" applyProtection="0"/>
    <xf numFmtId="0" fontId="2" fillId="53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7" borderId="6" applyNumberFormat="0" applyFont="0" applyAlignment="0" applyProtection="0"/>
    <xf numFmtId="0" fontId="25" fillId="7" borderId="6" applyNumberFormat="0" applyFont="0" applyAlignment="0" applyProtection="0"/>
    <xf numFmtId="0" fontId="25" fillId="7" borderId="6" applyNumberFormat="0" applyFont="0" applyAlignment="0" applyProtection="0"/>
    <xf numFmtId="0" fontId="2" fillId="7" borderId="6" applyNumberFormat="0" applyFont="0" applyAlignment="0" applyProtection="0"/>
    <xf numFmtId="0" fontId="25" fillId="7" borderId="6" applyNumberFormat="0" applyFont="0" applyAlignment="0" applyProtection="0"/>
    <xf numFmtId="0" fontId="25" fillId="7" borderId="6" applyNumberFormat="0" applyFont="0" applyAlignment="0" applyProtection="0"/>
    <xf numFmtId="0" fontId="25" fillId="7" borderId="6" applyNumberFormat="0" applyFont="0" applyAlignment="0" applyProtection="0"/>
    <xf numFmtId="0" fontId="25" fillId="7" borderId="6" applyNumberFormat="0" applyFont="0" applyAlignment="0" applyProtection="0"/>
    <xf numFmtId="0" fontId="25" fillId="7" borderId="6" applyNumberFormat="0" applyFont="0" applyAlignment="0" applyProtection="0"/>
    <xf numFmtId="0" fontId="25" fillId="7" borderId="6" applyNumberFormat="0" applyFont="0" applyAlignment="0" applyProtection="0"/>
    <xf numFmtId="0" fontId="25" fillId="7" borderId="6" applyNumberFormat="0" applyFont="0" applyAlignment="0" applyProtection="0"/>
    <xf numFmtId="0" fontId="25" fillId="7" borderId="6" applyNumberFormat="0" applyFont="0" applyAlignment="0" applyProtection="0"/>
    <xf numFmtId="0" fontId="25" fillId="7" borderId="6" applyNumberFormat="0" applyFont="0" applyAlignment="0" applyProtection="0"/>
    <xf numFmtId="0" fontId="25" fillId="7" borderId="6" applyNumberFormat="0" applyFont="0" applyAlignment="0" applyProtection="0"/>
    <xf numFmtId="165" fontId="25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/>
    <xf numFmtId="0" fontId="25" fillId="0" borderId="0"/>
    <xf numFmtId="165" fontId="25" fillId="0" borderId="0" applyFont="0" applyFill="0" applyBorder="0" applyAlignment="0" applyProtection="0"/>
    <xf numFmtId="0" fontId="31" fillId="0" borderId="0"/>
    <xf numFmtId="0" fontId="31" fillId="0" borderId="0"/>
    <xf numFmtId="0" fontId="29" fillId="0" borderId="0"/>
    <xf numFmtId="0" fontId="121" fillId="0" borderId="0"/>
    <xf numFmtId="182" fontId="121" fillId="0" borderId="0" applyFont="0" applyFill="0" applyBorder="0" applyAlignment="0" applyProtection="0"/>
    <xf numFmtId="0" fontId="121" fillId="0" borderId="0"/>
  </cellStyleXfs>
  <cellXfs count="1582">
    <xf numFmtId="0" fontId="0" fillId="0" borderId="0" xfId="0"/>
    <xf numFmtId="0" fontId="2" fillId="0" borderId="0" xfId="0" applyFont="1" applyAlignment="1">
      <alignment vertical="center"/>
    </xf>
    <xf numFmtId="0" fontId="4" fillId="2" borderId="1" xfId="0" applyFont="1" applyFill="1" applyBorder="1" applyAlignment="1">
      <alignment horizontal="left" vertical="center" wrapText="1" indent="1"/>
    </xf>
    <xf numFmtId="0" fontId="2" fillId="3" borderId="0" xfId="0" applyFont="1" applyFill="1"/>
    <xf numFmtId="166" fontId="0" fillId="0" borderId="0" xfId="0" applyNumberFormat="1"/>
    <xf numFmtId="0" fontId="13" fillId="0" borderId="0" xfId="0" applyFont="1"/>
    <xf numFmtId="0" fontId="3" fillId="2" borderId="0" xfId="0" applyFont="1" applyFill="1" applyAlignment="1">
      <alignment horizontal="right" vertical="center" wrapText="1"/>
    </xf>
    <xf numFmtId="0" fontId="14" fillId="0" borderId="0" xfId="0" applyFont="1"/>
    <xf numFmtId="0" fontId="14" fillId="0" borderId="0" xfId="0" applyFont="1" applyAlignment="1">
      <alignment vertical="center"/>
    </xf>
    <xf numFmtId="0" fontId="19" fillId="0" borderId="0" xfId="2" applyAlignment="1">
      <alignment vertical="center"/>
    </xf>
    <xf numFmtId="0" fontId="20" fillId="0" borderId="0" xfId="2" applyFont="1" applyAlignment="1">
      <alignment vertical="center"/>
    </xf>
    <xf numFmtId="0" fontId="23" fillId="2" borderId="0" xfId="0" applyFont="1" applyFill="1" applyAlignment="1">
      <alignment vertical="center" wrapText="1"/>
    </xf>
    <xf numFmtId="0" fontId="9" fillId="0" borderId="0" xfId="0" applyFont="1" applyAlignment="1">
      <alignment vertical="center"/>
    </xf>
    <xf numFmtId="0" fontId="12" fillId="2" borderId="0" xfId="0" applyFont="1" applyFill="1" applyAlignment="1">
      <alignment vertical="center" wrapText="1"/>
    </xf>
    <xf numFmtId="0" fontId="2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0" fillId="0" borderId="0" xfId="0" applyNumberFormat="1"/>
    <xf numFmtId="0" fontId="26" fillId="0" borderId="0" xfId="0" applyFont="1"/>
    <xf numFmtId="0" fontId="27" fillId="0" borderId="0" xfId="0" applyFont="1"/>
    <xf numFmtId="0" fontId="30" fillId="0" borderId="0" xfId="0" applyFont="1" applyAlignment="1">
      <alignment vertical="top" wrapText="1"/>
    </xf>
    <xf numFmtId="0" fontId="4" fillId="0" borderId="0" xfId="0" applyFont="1" applyAlignment="1">
      <alignment vertical="center" wrapText="1"/>
    </xf>
    <xf numFmtId="0" fontId="4" fillId="2" borderId="0" xfId="0" applyFont="1" applyFill="1" applyAlignment="1">
      <alignment horizontal="right" vertical="center" wrapText="1" indent="1"/>
    </xf>
    <xf numFmtId="169" fontId="3" fillId="2" borderId="1" xfId="0" applyNumberFormat="1" applyFont="1" applyFill="1" applyBorder="1" applyAlignment="1">
      <alignment horizontal="right" vertical="center" wrapText="1"/>
    </xf>
    <xf numFmtId="169" fontId="0" fillId="0" borderId="0" xfId="0" applyNumberFormat="1"/>
    <xf numFmtId="1" fontId="4" fillId="0" borderId="1" xfId="0" applyNumberFormat="1" applyFont="1" applyBorder="1" applyAlignment="1">
      <alignment horizontal="right" vertical="center" wrapText="1"/>
    </xf>
    <xf numFmtId="171" fontId="17" fillId="0" borderId="0" xfId="350" applyNumberFormat="1" applyFont="1" applyAlignment="1">
      <alignment vertical="center"/>
    </xf>
    <xf numFmtId="3" fontId="17" fillId="0" borderId="0" xfId="350" applyNumberFormat="1" applyFont="1" applyAlignment="1">
      <alignment vertical="center"/>
    </xf>
    <xf numFmtId="4" fontId="17" fillId="0" borderId="0" xfId="350" applyNumberFormat="1" applyFont="1" applyAlignment="1">
      <alignment horizontal="right" vertical="center"/>
    </xf>
    <xf numFmtId="3" fontId="17" fillId="0" borderId="0" xfId="350" applyNumberFormat="1" applyFont="1" applyAlignment="1">
      <alignment horizontal="right" vertical="center"/>
    </xf>
    <xf numFmtId="171" fontId="17" fillId="0" borderId="0" xfId="350" applyNumberFormat="1" applyFont="1" applyAlignment="1">
      <alignment horizontal="right" vertical="center"/>
    </xf>
    <xf numFmtId="0" fontId="17" fillId="0" borderId="0" xfId="350" applyFont="1" applyAlignment="1">
      <alignment horizontal="right" vertical="center"/>
    </xf>
    <xf numFmtId="3" fontId="49" fillId="0" borderId="0" xfId="350" applyNumberFormat="1" applyFont="1" applyAlignment="1">
      <alignment vertical="center"/>
    </xf>
    <xf numFmtId="3" fontId="49" fillId="0" borderId="0" xfId="350" applyNumberFormat="1" applyFont="1" applyAlignment="1">
      <alignment horizontal="right" vertical="center"/>
    </xf>
    <xf numFmtId="0" fontId="49" fillId="0" borderId="0" xfId="350" applyFont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 indent="2"/>
    </xf>
    <xf numFmtId="0" fontId="66" fillId="5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center" wrapText="1" indent="1"/>
    </xf>
    <xf numFmtId="169" fontId="3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left" vertical="center" wrapText="1" indent="1"/>
    </xf>
    <xf numFmtId="0" fontId="20" fillId="0" borderId="0" xfId="2" applyFont="1"/>
    <xf numFmtId="169" fontId="4" fillId="2" borderId="1" xfId="0" applyNumberFormat="1" applyFont="1" applyFill="1" applyBorder="1" applyAlignment="1">
      <alignment horizontal="right" vertical="center" wrapText="1"/>
    </xf>
    <xf numFmtId="169" fontId="4" fillId="0" borderId="1" xfId="0" applyNumberFormat="1" applyFont="1" applyBorder="1" applyAlignment="1">
      <alignment horizontal="right" vertical="center" wrapText="1"/>
    </xf>
    <xf numFmtId="169" fontId="3" fillId="0" borderId="1" xfId="0" applyNumberFormat="1" applyFont="1" applyBorder="1" applyAlignment="1">
      <alignment horizontal="right" vertical="center" wrapText="1"/>
    </xf>
    <xf numFmtId="172" fontId="4" fillId="0" borderId="1" xfId="0" applyNumberFormat="1" applyFont="1" applyBorder="1" applyAlignment="1">
      <alignment horizontal="right" vertical="center" wrapText="1"/>
    </xf>
    <xf numFmtId="172" fontId="3" fillId="0" borderId="1" xfId="0" applyNumberFormat="1" applyFont="1" applyBorder="1" applyAlignment="1">
      <alignment horizontal="right" vertical="center" wrapText="1"/>
    </xf>
    <xf numFmtId="172" fontId="8" fillId="0" borderId="1" xfId="0" applyNumberFormat="1" applyFont="1" applyBorder="1" applyAlignment="1">
      <alignment horizontal="right" vertical="center" wrapText="1"/>
    </xf>
    <xf numFmtId="172" fontId="4" fillId="2" borderId="0" xfId="0" applyNumberFormat="1" applyFont="1" applyFill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 indent="1"/>
    </xf>
    <xf numFmtId="0" fontId="4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right" vertical="center" wrapText="1"/>
    </xf>
    <xf numFmtId="0" fontId="4" fillId="3" borderId="0" xfId="0" applyFont="1" applyFill="1" applyAlignment="1">
      <alignment vertical="center" wrapText="1"/>
    </xf>
    <xf numFmtId="0" fontId="4" fillId="2" borderId="0" xfId="0" applyFont="1" applyFill="1" applyAlignment="1">
      <alignment horizontal="right" wrapText="1"/>
    </xf>
    <xf numFmtId="0" fontId="3" fillId="2" borderId="0" xfId="0" applyFont="1" applyFill="1" applyAlignment="1">
      <alignment horizontal="right" vertical="center" wrapText="1" indent="1"/>
    </xf>
    <xf numFmtId="0" fontId="4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right" vertical="center" wrapText="1"/>
    </xf>
    <xf numFmtId="0" fontId="20" fillId="0" borderId="0" xfId="2" applyFont="1" applyFill="1" applyBorder="1" applyAlignment="1">
      <alignment horizontal="left" vertical="center" indent="1"/>
    </xf>
    <xf numFmtId="0" fontId="3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right" vertical="center" wrapText="1"/>
    </xf>
    <xf numFmtId="1" fontId="17" fillId="0" borderId="0" xfId="350" applyNumberFormat="1" applyFont="1" applyAlignment="1">
      <alignment horizontal="left" vertical="center"/>
    </xf>
    <xf numFmtId="0" fontId="68" fillId="0" borderId="0" xfId="0" applyFont="1" applyAlignment="1">
      <alignment horizontal="left" vertical="center" wrapText="1"/>
    </xf>
    <xf numFmtId="0" fontId="70" fillId="0" borderId="0" xfId="0" applyFont="1" applyAlignment="1">
      <alignment horizontal="right" vertical="center" wrapText="1"/>
    </xf>
    <xf numFmtId="0" fontId="71" fillId="0" borderId="0" xfId="0" applyFont="1" applyAlignment="1">
      <alignment horizontal="left" vertical="center" wrapText="1"/>
    </xf>
    <xf numFmtId="0" fontId="72" fillId="0" borderId="0" xfId="0" applyFont="1" applyAlignment="1">
      <alignment horizontal="right" vertical="center" wrapText="1"/>
    </xf>
    <xf numFmtId="0" fontId="73" fillId="0" borderId="0" xfId="0" applyFont="1" applyAlignment="1">
      <alignment vertical="center"/>
    </xf>
    <xf numFmtId="0" fontId="4" fillId="2" borderId="1" xfId="0" applyFont="1" applyFill="1" applyBorder="1" applyAlignment="1">
      <alignment horizontal="right" vertical="center" wrapText="1"/>
    </xf>
    <xf numFmtId="2" fontId="0" fillId="0" borderId="0" xfId="0" applyNumberFormat="1"/>
    <xf numFmtId="0" fontId="4" fillId="0" borderId="1" xfId="0" applyFont="1" applyBorder="1" applyAlignment="1">
      <alignment horizontal="left" vertical="center" indent="1"/>
    </xf>
    <xf numFmtId="0" fontId="0" fillId="0" borderId="0" xfId="0" applyAlignment="1">
      <alignment vertical="center" wrapText="1"/>
    </xf>
    <xf numFmtId="169" fontId="4" fillId="2" borderId="0" xfId="0" applyNumberFormat="1" applyFont="1" applyFill="1" applyAlignment="1">
      <alignment horizontal="right" vertical="center" wrapText="1"/>
    </xf>
    <xf numFmtId="169" fontId="4" fillId="2" borderId="2" xfId="0" applyNumberFormat="1" applyFont="1" applyFill="1" applyBorder="1" applyAlignment="1">
      <alignment horizontal="right" vertical="center" wrapText="1"/>
    </xf>
    <xf numFmtId="169" fontId="3" fillId="0" borderId="2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4" fillId="0" borderId="0" xfId="0" applyFont="1"/>
    <xf numFmtId="3" fontId="4" fillId="0" borderId="1" xfId="0" applyNumberFormat="1" applyFont="1" applyBorder="1" applyAlignment="1">
      <alignment horizontal="left" vertical="center" wrapText="1"/>
    </xf>
    <xf numFmtId="0" fontId="75" fillId="5" borderId="0" xfId="0" applyFont="1" applyFill="1" applyAlignment="1">
      <alignment horizontal="left" vertical="top"/>
    </xf>
    <xf numFmtId="0" fontId="12" fillId="0" borderId="0" xfId="0" applyFont="1"/>
    <xf numFmtId="0" fontId="76" fillId="0" borderId="0" xfId="0" applyFont="1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 indent="1"/>
    </xf>
    <xf numFmtId="0" fontId="4" fillId="2" borderId="0" xfId="0" applyFont="1" applyFill="1" applyAlignment="1">
      <alignment vertical="center" wrapText="1"/>
    </xf>
    <xf numFmtId="0" fontId="1" fillId="0" borderId="0" xfId="0" applyFont="1"/>
    <xf numFmtId="0" fontId="7" fillId="0" borderId="0" xfId="0" applyFont="1"/>
    <xf numFmtId="0" fontId="20" fillId="0" borderId="0" xfId="2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 vertical="center" wrapText="1"/>
    </xf>
    <xf numFmtId="0" fontId="67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left" vertical="center" wrapText="1" indent="1"/>
    </xf>
    <xf numFmtId="173" fontId="33" fillId="0" borderId="0" xfId="0" applyNumberFormat="1" applyFont="1" applyAlignment="1">
      <alignment horizontal="right" vertical="center" wrapText="1"/>
    </xf>
    <xf numFmtId="0" fontId="3" fillId="2" borderId="0" xfId="0" applyFont="1" applyFill="1" applyAlignment="1">
      <alignment horizontal="right" vertical="center"/>
    </xf>
    <xf numFmtId="0" fontId="12" fillId="3" borderId="0" xfId="0" applyFont="1" applyFill="1" applyAlignment="1">
      <alignment horizontal="right" vertical="center"/>
    </xf>
    <xf numFmtId="169" fontId="4" fillId="0" borderId="2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1" fontId="3" fillId="0" borderId="0" xfId="0" applyNumberFormat="1" applyFont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1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vertical="center" wrapText="1"/>
    </xf>
    <xf numFmtId="1" fontId="4" fillId="2" borderId="0" xfId="0" applyNumberFormat="1" applyFont="1" applyFill="1" applyAlignment="1">
      <alignment horizontal="right" vertical="center" wrapText="1"/>
    </xf>
    <xf numFmtId="0" fontId="0" fillId="0" borderId="0" xfId="0" applyAlignment="1">
      <alignment horizontal="center"/>
    </xf>
    <xf numFmtId="169" fontId="3" fillId="0" borderId="3" xfId="0" applyNumberFormat="1" applyFont="1" applyBorder="1" applyAlignment="1">
      <alignment horizontal="right" vertical="center" wrapText="1"/>
    </xf>
    <xf numFmtId="169" fontId="4" fillId="2" borderId="0" xfId="0" applyNumberFormat="1" applyFont="1" applyFill="1" applyAlignment="1">
      <alignment vertical="center" wrapText="1"/>
    </xf>
    <xf numFmtId="172" fontId="4" fillId="2" borderId="0" xfId="0" applyNumberFormat="1" applyFont="1" applyFill="1" applyAlignment="1">
      <alignment vertical="center" wrapText="1"/>
    </xf>
    <xf numFmtId="0" fontId="76" fillId="0" borderId="0" xfId="0" applyFont="1" applyAlignment="1">
      <alignment vertical="center"/>
    </xf>
    <xf numFmtId="0" fontId="69" fillId="0" borderId="0" xfId="0" applyFont="1"/>
    <xf numFmtId="0" fontId="3" fillId="0" borderId="0" xfId="0" applyFont="1"/>
    <xf numFmtId="0" fontId="4" fillId="2" borderId="0" xfId="0" applyFont="1" applyFill="1" applyAlignment="1">
      <alignment horizontal="right" vertical="center" wrapText="1"/>
    </xf>
    <xf numFmtId="1" fontId="4" fillId="2" borderId="0" xfId="0" applyNumberFormat="1" applyFont="1" applyFill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1" fontId="4" fillId="0" borderId="0" xfId="0" applyNumberFormat="1" applyFont="1" applyAlignment="1">
      <alignment horizontal="left" vertical="center" wrapText="1"/>
    </xf>
    <xf numFmtId="172" fontId="3" fillId="2" borderId="0" xfId="0" applyNumberFormat="1" applyFont="1" applyFill="1" applyAlignment="1">
      <alignment horizontal="right" vertical="center" wrapText="1"/>
    </xf>
    <xf numFmtId="172" fontId="3" fillId="0" borderId="0" xfId="0" applyNumberFormat="1" applyFont="1" applyAlignment="1">
      <alignment horizontal="right" vertical="center" wrapText="1"/>
    </xf>
    <xf numFmtId="172" fontId="4" fillId="0" borderId="0" xfId="0" applyNumberFormat="1" applyFont="1" applyAlignment="1">
      <alignment horizontal="right" vertical="center" wrapText="1"/>
    </xf>
    <xf numFmtId="172" fontId="4" fillId="2" borderId="0" xfId="0" applyNumberFormat="1" applyFont="1" applyFill="1" applyAlignment="1">
      <alignment horizontal="left" vertical="center" wrapText="1"/>
    </xf>
    <xf numFmtId="172" fontId="3" fillId="2" borderId="3" xfId="0" applyNumberFormat="1" applyFont="1" applyFill="1" applyBorder="1" applyAlignment="1">
      <alignment horizontal="right" vertical="center" wrapText="1"/>
    </xf>
    <xf numFmtId="49" fontId="4" fillId="2" borderId="0" xfId="0" applyNumberFormat="1" applyFont="1" applyFill="1" applyAlignment="1">
      <alignment horizontal="right" vertical="center" wrapText="1"/>
    </xf>
    <xf numFmtId="169" fontId="4" fillId="0" borderId="0" xfId="0" applyNumberFormat="1" applyFont="1" applyAlignment="1">
      <alignment horizontal="right" vertical="center" wrapText="1"/>
    </xf>
    <xf numFmtId="169" fontId="4" fillId="2" borderId="0" xfId="0" applyNumberFormat="1" applyFont="1" applyFill="1" applyAlignment="1">
      <alignment horizontal="left" vertical="center" wrapText="1"/>
    </xf>
    <xf numFmtId="1" fontId="3" fillId="0" borderId="1" xfId="0" applyNumberFormat="1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1" fontId="3" fillId="0" borderId="3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indent="1"/>
    </xf>
    <xf numFmtId="0" fontId="3" fillId="3" borderId="3" xfId="0" applyFont="1" applyFill="1" applyBorder="1" applyAlignment="1">
      <alignment vertical="center" wrapText="1"/>
    </xf>
    <xf numFmtId="0" fontId="10" fillId="0" borderId="0" xfId="0" applyFont="1" applyAlignment="1">
      <alignment horizontal="right" vertical="center" wrapText="1"/>
    </xf>
    <xf numFmtId="1" fontId="0" fillId="0" borderId="0" xfId="0" applyNumberFormat="1"/>
    <xf numFmtId="0" fontId="3" fillId="0" borderId="3" xfId="0" applyFont="1" applyBorder="1" applyAlignment="1">
      <alignment horizontal="left" vertical="center" indent="1"/>
    </xf>
    <xf numFmtId="1" fontId="3" fillId="0" borderId="3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172" fontId="0" fillId="0" borderId="0" xfId="0" applyNumberFormat="1"/>
    <xf numFmtId="0" fontId="4" fillId="2" borderId="1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3" borderId="1" xfId="0" applyFont="1" applyFill="1" applyBorder="1" applyAlignment="1">
      <alignment horizontal="right" vertical="center"/>
    </xf>
    <xf numFmtId="169" fontId="4" fillId="2" borderId="1" xfId="0" applyNumberFormat="1" applyFont="1" applyFill="1" applyBorder="1" applyAlignment="1">
      <alignment horizontal="right" vertical="center"/>
    </xf>
    <xf numFmtId="169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0" fontId="80" fillId="0" borderId="0" xfId="0" applyFont="1"/>
    <xf numFmtId="1" fontId="3" fillId="2" borderId="0" xfId="0" applyNumberFormat="1" applyFont="1" applyFill="1" applyAlignment="1">
      <alignment horizontal="right" vertical="center" wrapText="1"/>
    </xf>
    <xf numFmtId="0" fontId="7" fillId="0" borderId="0" xfId="0" applyFont="1" applyAlignment="1">
      <alignment horizontal="left" vertical="center" wrapText="1" indent="1"/>
    </xf>
    <xf numFmtId="0" fontId="17" fillId="0" borderId="0" xfId="2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 indent="1"/>
    </xf>
    <xf numFmtId="0" fontId="4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79" fillId="0" borderId="0" xfId="2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2" fillId="3" borderId="0" xfId="0" applyFont="1" applyFill="1"/>
    <xf numFmtId="0" fontId="4" fillId="3" borderId="0" xfId="0" applyFont="1" applyFill="1" applyAlignment="1">
      <alignment horizontal="right" vertical="center"/>
    </xf>
    <xf numFmtId="0" fontId="3" fillId="0" borderId="1" xfId="0" applyFont="1" applyBorder="1" applyAlignment="1">
      <alignment horizontal="right" vertical="center" indent="1"/>
    </xf>
    <xf numFmtId="0" fontId="12" fillId="3" borderId="0" xfId="0" applyFont="1" applyFill="1" applyAlignment="1">
      <alignment horizontal="right"/>
    </xf>
    <xf numFmtId="169" fontId="3" fillId="2" borderId="0" xfId="0" applyNumberFormat="1" applyFont="1" applyFill="1" applyAlignment="1">
      <alignment horizontal="right" vertical="center" wrapText="1"/>
    </xf>
    <xf numFmtId="174" fontId="3" fillId="0" borderId="1" xfId="0" applyNumberFormat="1" applyFont="1" applyBorder="1" applyAlignment="1">
      <alignment horizontal="right" vertical="center" wrapText="1"/>
    </xf>
    <xf numFmtId="174" fontId="8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1" fontId="3" fillId="0" borderId="1" xfId="0" applyNumberFormat="1" applyFont="1" applyBorder="1" applyAlignment="1">
      <alignment vertical="center"/>
    </xf>
    <xf numFmtId="1" fontId="3" fillId="0" borderId="3" xfId="0" applyNumberFormat="1" applyFont="1" applyBorder="1" applyAlignment="1">
      <alignment vertical="center"/>
    </xf>
    <xf numFmtId="169" fontId="4" fillId="2" borderId="0" xfId="0" applyNumberFormat="1" applyFont="1" applyFill="1" applyAlignment="1">
      <alignment horizontal="right" vertical="center"/>
    </xf>
    <xf numFmtId="1" fontId="4" fillId="2" borderId="0" xfId="0" applyNumberFormat="1" applyFont="1" applyFill="1" applyAlignment="1">
      <alignment horizontal="right" vertical="center"/>
    </xf>
    <xf numFmtId="0" fontId="3" fillId="0" borderId="0" xfId="0" applyFont="1" applyAlignment="1">
      <alignment horizontal="right" vertical="center" wrapText="1" indent="1"/>
    </xf>
    <xf numFmtId="0" fontId="4" fillId="3" borderId="0" xfId="0" applyFont="1" applyFill="1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4" fillId="3" borderId="0" xfId="0" applyFont="1" applyFill="1" applyAlignment="1">
      <alignment horizontal="right" vertical="center" wrapText="1"/>
    </xf>
    <xf numFmtId="172" fontId="3" fillId="0" borderId="1" xfId="0" applyNumberFormat="1" applyFont="1" applyBorder="1" applyAlignment="1">
      <alignment vertical="center" wrapText="1"/>
    </xf>
    <xf numFmtId="172" fontId="3" fillId="0" borderId="3" xfId="0" applyNumberFormat="1" applyFont="1" applyBorder="1" applyAlignment="1">
      <alignment vertical="center" wrapText="1"/>
    </xf>
    <xf numFmtId="172" fontId="4" fillId="3" borderId="0" xfId="0" applyNumberFormat="1" applyFont="1" applyFill="1" applyAlignment="1">
      <alignment vertical="center" wrapText="1"/>
    </xf>
    <xf numFmtId="1" fontId="3" fillId="3" borderId="1" xfId="0" applyNumberFormat="1" applyFont="1" applyFill="1" applyBorder="1" applyAlignment="1">
      <alignment vertical="center" wrapText="1"/>
    </xf>
    <xf numFmtId="1" fontId="3" fillId="3" borderId="3" xfId="0" applyNumberFormat="1" applyFont="1" applyFill="1" applyBorder="1" applyAlignment="1">
      <alignment vertical="center" wrapText="1"/>
    </xf>
    <xf numFmtId="1" fontId="4" fillId="3" borderId="0" xfId="0" applyNumberFormat="1" applyFont="1" applyFill="1" applyAlignment="1">
      <alignment horizontal="right" vertical="center" wrapText="1"/>
    </xf>
    <xf numFmtId="1" fontId="4" fillId="3" borderId="0" xfId="0" applyNumberFormat="1" applyFont="1" applyFill="1" applyAlignment="1">
      <alignment vertical="center" wrapText="1"/>
    </xf>
    <xf numFmtId="0" fontId="20" fillId="0" borderId="0" xfId="0" applyFont="1"/>
    <xf numFmtId="172" fontId="3" fillId="2" borderId="1" xfId="0" applyNumberFormat="1" applyFont="1" applyFill="1" applyBorder="1" applyAlignment="1">
      <alignment horizontal="right" vertical="center"/>
    </xf>
    <xf numFmtId="172" fontId="4" fillId="2" borderId="0" xfId="0" applyNumberFormat="1" applyFont="1" applyFill="1" applyAlignment="1">
      <alignment horizontal="right" vertical="center"/>
    </xf>
    <xf numFmtId="172" fontId="4" fillId="2" borderId="0" xfId="0" applyNumberFormat="1" applyFont="1" applyFill="1" applyAlignment="1">
      <alignment horizontal="left" vertical="center"/>
    </xf>
    <xf numFmtId="172" fontId="4" fillId="0" borderId="1" xfId="0" applyNumberFormat="1" applyFont="1" applyBorder="1" applyAlignment="1">
      <alignment vertical="center" wrapText="1"/>
    </xf>
    <xf numFmtId="172" fontId="4" fillId="2" borderId="1" xfId="0" applyNumberFormat="1" applyFont="1" applyFill="1" applyBorder="1" applyAlignment="1">
      <alignment horizontal="right" vertical="center"/>
    </xf>
    <xf numFmtId="172" fontId="3" fillId="0" borderId="2" xfId="0" applyNumberFormat="1" applyFont="1" applyBorder="1" applyAlignment="1">
      <alignment horizontal="right" vertical="center" wrapText="1"/>
    </xf>
    <xf numFmtId="172" fontId="3" fillId="0" borderId="3" xfId="0" applyNumberFormat="1" applyFont="1" applyBorder="1" applyAlignment="1">
      <alignment horizontal="right" vertical="center" wrapText="1"/>
    </xf>
    <xf numFmtId="172" fontId="5" fillId="0" borderId="1" xfId="0" applyNumberFormat="1" applyFont="1" applyBorder="1" applyAlignment="1">
      <alignment horizontal="right" vertical="center" wrapText="1"/>
    </xf>
    <xf numFmtId="172" fontId="8" fillId="0" borderId="0" xfId="0" applyNumberFormat="1" applyFont="1" applyAlignment="1">
      <alignment horizontal="right" vertical="center" wrapText="1"/>
    </xf>
    <xf numFmtId="172" fontId="5" fillId="2" borderId="0" xfId="0" applyNumberFormat="1" applyFont="1" applyFill="1" applyAlignment="1">
      <alignment horizontal="right" vertical="center" wrapText="1"/>
    </xf>
    <xf numFmtId="0" fontId="79" fillId="0" borderId="0" xfId="2" applyFont="1"/>
    <xf numFmtId="0" fontId="3" fillId="2" borderId="0" xfId="0" applyFont="1" applyFill="1" applyAlignment="1">
      <alignment vertical="center" wrapText="1"/>
    </xf>
    <xf numFmtId="0" fontId="79" fillId="0" borderId="0" xfId="2" applyFont="1" applyAlignment="1">
      <alignment vertical="center"/>
    </xf>
    <xf numFmtId="172" fontId="10" fillId="0" borderId="0" xfId="0" applyNumberFormat="1" applyFont="1" applyAlignment="1">
      <alignment horizontal="right" vertical="center" wrapText="1"/>
    </xf>
    <xf numFmtId="0" fontId="20" fillId="0" borderId="0" xfId="2" applyFont="1" applyFill="1" applyBorder="1" applyAlignment="1">
      <alignment horizontal="left" vertical="center" wrapText="1"/>
    </xf>
    <xf numFmtId="172" fontId="4" fillId="0" borderId="0" xfId="0" applyNumberFormat="1" applyFont="1" applyAlignment="1">
      <alignment horizontal="right" vertical="center"/>
    </xf>
    <xf numFmtId="172" fontId="3" fillId="0" borderId="0" xfId="0" applyNumberFormat="1" applyFont="1" applyAlignment="1">
      <alignment vertical="center" wrapText="1"/>
    </xf>
    <xf numFmtId="1" fontId="3" fillId="3" borderId="3" xfId="0" applyNumberFormat="1" applyFont="1" applyFill="1" applyBorder="1" applyAlignment="1">
      <alignment horizontal="right" vertical="center" wrapText="1"/>
    </xf>
    <xf numFmtId="1" fontId="3" fillId="3" borderId="0" xfId="0" applyNumberFormat="1" applyFont="1" applyFill="1" applyAlignment="1">
      <alignment vertical="center" wrapText="1"/>
    </xf>
    <xf numFmtId="0" fontId="4" fillId="0" borderId="1" xfId="0" applyFont="1" applyBorder="1" applyAlignment="1">
      <alignment horizontal="right" vertical="center"/>
    </xf>
    <xf numFmtId="169" fontId="4" fillId="0" borderId="1" xfId="0" applyNumberFormat="1" applyFont="1" applyBorder="1" applyAlignment="1">
      <alignment horizontal="right" vertical="center"/>
    </xf>
    <xf numFmtId="169" fontId="3" fillId="0" borderId="1" xfId="0" applyNumberFormat="1" applyFont="1" applyBorder="1" applyAlignment="1">
      <alignment horizontal="right" vertical="center"/>
    </xf>
    <xf numFmtId="0" fontId="79" fillId="0" borderId="0" xfId="0" applyFont="1"/>
    <xf numFmtId="169" fontId="3" fillId="0" borderId="0" xfId="0" applyNumberFormat="1" applyFont="1" applyAlignment="1">
      <alignment vertical="center" wrapText="1"/>
    </xf>
    <xf numFmtId="172" fontId="4" fillId="0" borderId="0" xfId="0" applyNumberFormat="1" applyFont="1" applyAlignment="1">
      <alignment vertical="center" wrapText="1"/>
    </xf>
    <xf numFmtId="0" fontId="79" fillId="0" borderId="0" xfId="2" applyFont="1" applyFill="1" applyBorder="1" applyAlignment="1">
      <alignment horizontal="left" vertical="center" indent="1"/>
    </xf>
    <xf numFmtId="0" fontId="3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1" fontId="4" fillId="0" borderId="2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left" vertical="center" wrapText="1" indent="1"/>
    </xf>
    <xf numFmtId="172" fontId="3" fillId="0" borderId="1" xfId="0" applyNumberFormat="1" applyFont="1" applyBorder="1" applyAlignment="1">
      <alignment horizontal="right" vertical="center"/>
    </xf>
    <xf numFmtId="174" fontId="3" fillId="0" borderId="1" xfId="0" applyNumberFormat="1" applyFont="1" applyBorder="1" applyAlignment="1">
      <alignment vertical="center" wrapText="1"/>
    </xf>
    <xf numFmtId="174" fontId="3" fillId="2" borderId="1" xfId="0" applyNumberFormat="1" applyFont="1" applyFill="1" applyBorder="1" applyAlignment="1">
      <alignment horizontal="right" vertical="center" wrapText="1"/>
    </xf>
    <xf numFmtId="172" fontId="4" fillId="2" borderId="1" xfId="0" applyNumberFormat="1" applyFont="1" applyFill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 indent="1"/>
    </xf>
    <xf numFmtId="172" fontId="4" fillId="2" borderId="3" xfId="0" applyNumberFormat="1" applyFont="1" applyFill="1" applyBorder="1" applyAlignment="1">
      <alignment horizontal="right" vertical="center" wrapText="1"/>
    </xf>
    <xf numFmtId="0" fontId="2" fillId="0" borderId="1" xfId="0" applyFont="1" applyBorder="1"/>
    <xf numFmtId="0" fontId="4" fillId="0" borderId="1" xfId="0" applyFont="1" applyBorder="1"/>
    <xf numFmtId="0" fontId="3" fillId="0" borderId="1" xfId="0" applyFont="1" applyBorder="1"/>
    <xf numFmtId="172" fontId="3" fillId="2" borderId="1" xfId="0" applyNumberFormat="1" applyFont="1" applyFill="1" applyBorder="1" applyAlignment="1">
      <alignment horizontal="right" vertical="center" wrapText="1"/>
    </xf>
    <xf numFmtId="0" fontId="19" fillId="0" borderId="0" xfId="2"/>
    <xf numFmtId="172" fontId="0" fillId="0" borderId="0" xfId="0" applyNumberFormat="1" applyAlignment="1">
      <alignment vertical="center" wrapText="1"/>
    </xf>
    <xf numFmtId="1" fontId="3" fillId="0" borderId="0" xfId="0" applyNumberFormat="1" applyFont="1" applyAlignment="1">
      <alignment vertical="center" wrapText="1"/>
    </xf>
    <xf numFmtId="172" fontId="4" fillId="2" borderId="2" xfId="0" applyNumberFormat="1" applyFont="1" applyFill="1" applyBorder="1" applyAlignment="1">
      <alignment horizontal="right" vertical="center" wrapText="1"/>
    </xf>
    <xf numFmtId="0" fontId="4" fillId="3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 wrapText="1" indent="2"/>
    </xf>
    <xf numFmtId="0" fontId="101" fillId="0" borderId="0" xfId="0" applyFont="1" applyAlignment="1">
      <alignment vertical="center"/>
    </xf>
    <xf numFmtId="0" fontId="102" fillId="0" borderId="0" xfId="0" applyFont="1" applyAlignment="1">
      <alignment vertical="center"/>
    </xf>
    <xf numFmtId="172" fontId="4" fillId="0" borderId="19" xfId="0" applyNumberFormat="1" applyFont="1" applyBorder="1" applyAlignment="1">
      <alignment horizontal="right" vertical="center" wrapText="1"/>
    </xf>
    <xf numFmtId="172" fontId="18" fillId="0" borderId="19" xfId="0" applyNumberFormat="1" applyFont="1" applyBorder="1" applyAlignment="1">
      <alignment horizontal="right" vertical="center" wrapText="1"/>
    </xf>
    <xf numFmtId="172" fontId="4" fillId="4" borderId="19" xfId="0" applyNumberFormat="1" applyFont="1" applyFill="1" applyBorder="1" applyAlignment="1">
      <alignment horizontal="right" vertical="center" wrapText="1"/>
    </xf>
    <xf numFmtId="172" fontId="3" fillId="0" borderId="19" xfId="0" applyNumberFormat="1" applyFont="1" applyBorder="1" applyAlignment="1">
      <alignment horizontal="right" vertical="center" wrapText="1"/>
    </xf>
    <xf numFmtId="172" fontId="3" fillId="4" borderId="19" xfId="0" applyNumberFormat="1" applyFont="1" applyFill="1" applyBorder="1" applyAlignment="1">
      <alignment horizontal="right" vertical="center" wrapText="1"/>
    </xf>
    <xf numFmtId="172" fontId="1" fillId="0" borderId="0" xfId="0" applyNumberFormat="1" applyFont="1" applyAlignment="1">
      <alignment vertical="center"/>
    </xf>
    <xf numFmtId="174" fontId="12" fillId="0" borderId="0" xfId="0" applyNumberFormat="1" applyFont="1" applyAlignment="1">
      <alignment horizontal="right" vertical="center" wrapText="1"/>
    </xf>
    <xf numFmtId="169" fontId="2" fillId="0" borderId="0" xfId="0" applyNumberFormat="1" applyFont="1" applyAlignment="1">
      <alignment horizontal="left" vertical="center" wrapText="1"/>
    </xf>
    <xf numFmtId="172" fontId="12" fillId="0" borderId="0" xfId="0" applyNumberFormat="1" applyFont="1" applyAlignment="1">
      <alignment horizontal="right" vertical="center" wrapText="1"/>
    </xf>
    <xf numFmtId="0" fontId="12" fillId="2" borderId="18" xfId="0" applyFont="1" applyFill="1" applyBorder="1" applyAlignment="1">
      <alignment vertical="center" wrapText="1"/>
    </xf>
    <xf numFmtId="169" fontId="12" fillId="0" borderId="18" xfId="0" applyNumberFormat="1" applyFont="1" applyBorder="1" applyAlignment="1">
      <alignment horizontal="right" vertical="center" wrapText="1"/>
    </xf>
    <xf numFmtId="169" fontId="2" fillId="0" borderId="18" xfId="0" applyNumberFormat="1" applyFont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169" fontId="2" fillId="0" borderId="0" xfId="0" applyNumberFormat="1" applyFont="1" applyAlignment="1">
      <alignment horizontal="right" vertical="center" wrapText="1"/>
    </xf>
    <xf numFmtId="169" fontId="12" fillId="0" borderId="0" xfId="0" applyNumberFormat="1" applyFont="1" applyAlignment="1">
      <alignment horizontal="right" vertical="center" wrapText="1"/>
    </xf>
    <xf numFmtId="0" fontId="2" fillId="2" borderId="18" xfId="0" applyFont="1" applyFill="1" applyBorder="1" applyAlignment="1">
      <alignment vertical="center" wrapText="1"/>
    </xf>
    <xf numFmtId="169" fontId="2" fillId="0" borderId="18" xfId="0" applyNumberFormat="1" applyFont="1" applyBorder="1" applyAlignment="1">
      <alignment horizontal="right" vertical="center" wrapText="1"/>
    </xf>
    <xf numFmtId="169" fontId="3" fillId="0" borderId="0" xfId="0" applyNumberFormat="1" applyFont="1" applyAlignment="1">
      <alignment horizontal="left" vertical="center" wrapText="1"/>
    </xf>
    <xf numFmtId="169" fontId="2" fillId="0" borderId="0" xfId="0" applyNumberFormat="1" applyFont="1" applyAlignment="1">
      <alignment horizontal="center" vertical="center" wrapText="1"/>
    </xf>
    <xf numFmtId="169" fontId="17" fillId="0" borderId="0" xfId="2" applyNumberFormat="1" applyFont="1" applyFill="1" applyBorder="1" applyAlignment="1">
      <alignment horizontal="left" vertical="center"/>
    </xf>
    <xf numFmtId="0" fontId="76" fillId="0" borderId="0" xfId="0" applyFont="1" applyAlignment="1">
      <alignment horizontal="center"/>
    </xf>
    <xf numFmtId="169" fontId="4" fillId="2" borderId="0" xfId="0" applyNumberFormat="1" applyFont="1" applyFill="1" applyAlignment="1">
      <alignment horizontal="left" wrapText="1"/>
    </xf>
    <xf numFmtId="49" fontId="4" fillId="2" borderId="0" xfId="0" applyNumberFormat="1" applyFont="1" applyFill="1" applyAlignment="1">
      <alignment horizontal="right" wrapText="1"/>
    </xf>
    <xf numFmtId="169" fontId="4" fillId="2" borderId="0" xfId="0" applyNumberFormat="1" applyFont="1" applyFill="1" applyAlignment="1">
      <alignment horizontal="right" wrapText="1"/>
    </xf>
    <xf numFmtId="169" fontId="3" fillId="2" borderId="3" xfId="0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left" vertical="center" wrapText="1"/>
    </xf>
    <xf numFmtId="169" fontId="4" fillId="4" borderId="0" xfId="0" applyNumberFormat="1" applyFont="1" applyFill="1" applyAlignment="1">
      <alignment horizontal="right" vertical="center" wrapText="1"/>
    </xf>
    <xf numFmtId="0" fontId="27" fillId="0" borderId="0" xfId="0" applyFont="1" applyAlignment="1">
      <alignment vertical="center"/>
    </xf>
    <xf numFmtId="169" fontId="4" fillId="3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9" fontId="3" fillId="0" borderId="3" xfId="0" applyNumberFormat="1" applyFont="1" applyBorder="1" applyAlignment="1">
      <alignment horizontal="right" vertical="center"/>
    </xf>
    <xf numFmtId="169" fontId="4" fillId="3" borderId="0" xfId="0" applyNumberFormat="1" applyFont="1" applyFill="1" applyAlignment="1">
      <alignment horizontal="right" vertical="center" wrapText="1"/>
    </xf>
    <xf numFmtId="177" fontId="0" fillId="0" borderId="0" xfId="0" applyNumberFormat="1"/>
    <xf numFmtId="0" fontId="3" fillId="0" borderId="2" xfId="0" applyFont="1" applyBorder="1" applyAlignment="1">
      <alignment vertical="center"/>
    </xf>
    <xf numFmtId="0" fontId="79" fillId="0" borderId="0" xfId="2" applyFont="1" applyFill="1" applyBorder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 wrapText="1"/>
    </xf>
    <xf numFmtId="169" fontId="5" fillId="2" borderId="0" xfId="0" applyNumberFormat="1" applyFont="1" applyFill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left" vertical="center" wrapText="1"/>
    </xf>
    <xf numFmtId="169" fontId="3" fillId="2" borderId="2" xfId="0" applyNumberFormat="1" applyFont="1" applyFill="1" applyBorder="1" applyAlignment="1">
      <alignment horizontal="right" vertical="center" wrapText="1"/>
    </xf>
    <xf numFmtId="0" fontId="7" fillId="0" borderId="0" xfId="2" applyFont="1"/>
    <xf numFmtId="0" fontId="4" fillId="0" borderId="1" xfId="0" applyFont="1" applyBorder="1" applyAlignment="1">
      <alignment vertical="center"/>
    </xf>
    <xf numFmtId="169" fontId="3" fillId="0" borderId="1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169" fontId="18" fillId="0" borderId="1" xfId="0" applyNumberFormat="1" applyFont="1" applyBorder="1" applyAlignment="1">
      <alignment horizontal="right" vertical="center" wrapText="1"/>
    </xf>
    <xf numFmtId="169" fontId="17" fillId="0" borderId="1" xfId="0" applyNumberFormat="1" applyFont="1" applyBorder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0" fontId="19" fillId="0" borderId="0" xfId="2" applyAlignment="1">
      <alignment vertical="center" wrapText="1"/>
    </xf>
    <xf numFmtId="3" fontId="0" fillId="0" borderId="0" xfId="0" applyNumberFormat="1" applyAlignment="1">
      <alignment vertical="center" wrapText="1"/>
    </xf>
    <xf numFmtId="0" fontId="104" fillId="0" borderId="0" xfId="0" applyFont="1"/>
    <xf numFmtId="169" fontId="3" fillId="2" borderId="1" xfId="0" applyNumberFormat="1" applyFont="1" applyFill="1" applyBorder="1" applyAlignment="1">
      <alignment vertical="center" wrapText="1"/>
    </xf>
    <xf numFmtId="169" fontId="3" fillId="0" borderId="1" xfId="0" applyNumberFormat="1" applyFont="1" applyBorder="1" applyAlignment="1">
      <alignment vertical="center" wrapText="1"/>
    </xf>
    <xf numFmtId="0" fontId="79" fillId="0" borderId="0" xfId="2" applyFont="1" applyAlignment="1">
      <alignment horizontal="left"/>
    </xf>
    <xf numFmtId="0" fontId="2" fillId="0" borderId="0" xfId="0" applyFont="1"/>
    <xf numFmtId="166" fontId="2" fillId="3" borderId="0" xfId="0" applyNumberFormat="1" applyFont="1" applyFill="1" applyAlignment="1">
      <alignment horizontal="right"/>
    </xf>
    <xf numFmtId="0" fontId="2" fillId="3" borderId="0" xfId="0" applyFont="1" applyFill="1" applyAlignment="1">
      <alignment horizontal="right"/>
    </xf>
    <xf numFmtId="166" fontId="2" fillId="0" borderId="0" xfId="0" applyNumberFormat="1" applyFont="1"/>
    <xf numFmtId="1" fontId="2" fillId="0" borderId="0" xfId="0" applyNumberFormat="1" applyFo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56" borderId="0" xfId="0" applyFont="1" applyFill="1" applyAlignment="1">
      <alignment horizontal="left" vertical="center" wrapText="1"/>
    </xf>
    <xf numFmtId="0" fontId="4" fillId="56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9" fontId="3" fillId="56" borderId="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169" fontId="4" fillId="0" borderId="3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left" vertical="center" wrapText="1" indent="2"/>
    </xf>
    <xf numFmtId="169" fontId="4" fillId="56" borderId="0" xfId="0" applyNumberFormat="1" applyFont="1" applyFill="1" applyAlignment="1">
      <alignment horizontal="left" vertical="center" wrapText="1"/>
    </xf>
    <xf numFmtId="169" fontId="4" fillId="56" borderId="0" xfId="0" applyNumberFormat="1" applyFont="1" applyFill="1" applyAlignment="1">
      <alignment horizontal="right" vertical="center" wrapText="1"/>
    </xf>
    <xf numFmtId="0" fontId="5" fillId="2" borderId="0" xfId="0" applyFont="1" applyFill="1" applyAlignment="1">
      <alignment vertical="center"/>
    </xf>
    <xf numFmtId="169" fontId="3" fillId="0" borderId="0" xfId="0" applyNumberFormat="1" applyFont="1" applyAlignment="1">
      <alignment horizontal="right" vertical="center"/>
    </xf>
    <xf numFmtId="0" fontId="104" fillId="0" borderId="0" xfId="0" applyFont="1" applyAlignment="1">
      <alignment vertical="center"/>
    </xf>
    <xf numFmtId="169" fontId="0" fillId="0" borderId="0" xfId="0" applyNumberFormat="1" applyAlignment="1">
      <alignment horizontal="left"/>
    </xf>
    <xf numFmtId="0" fontId="4" fillId="56" borderId="0" xfId="0" applyFont="1" applyFill="1" applyAlignment="1">
      <alignment vertical="center" wrapText="1"/>
    </xf>
    <xf numFmtId="0" fontId="4" fillId="56" borderId="0" xfId="0" applyFont="1" applyFill="1" applyAlignment="1">
      <alignment horizontal="right" vertical="center" wrapText="1"/>
    </xf>
    <xf numFmtId="0" fontId="3" fillId="0" borderId="3" xfId="0" applyFont="1" applyBorder="1" applyAlignment="1">
      <alignment horizontal="left" vertical="center" wrapText="1" indent="2"/>
    </xf>
    <xf numFmtId="0" fontId="20" fillId="0" borderId="0" xfId="2" applyFont="1" applyAlignment="1">
      <alignment horizontal="left"/>
    </xf>
    <xf numFmtId="0" fontId="2" fillId="2" borderId="0" xfId="0" applyFont="1" applyFill="1" applyAlignment="1">
      <alignment horizontal="right" vertical="center" wrapText="1"/>
    </xf>
    <xf numFmtId="0" fontId="12" fillId="2" borderId="0" xfId="0" applyFont="1" applyFill="1" applyAlignment="1">
      <alignment horizontal="right" vertical="center" wrapText="1"/>
    </xf>
    <xf numFmtId="169" fontId="12" fillId="0" borderId="20" xfId="0" applyNumberFormat="1" applyFont="1" applyBorder="1" applyAlignment="1">
      <alignment horizontal="right" vertical="center" wrapText="1"/>
    </xf>
    <xf numFmtId="169" fontId="12" fillId="2" borderId="20" xfId="0" applyNumberFormat="1" applyFont="1" applyFill="1" applyBorder="1" applyAlignment="1">
      <alignment horizontal="right" vertical="center" wrapText="1"/>
    </xf>
    <xf numFmtId="169" fontId="2" fillId="0" borderId="20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2" fillId="2" borderId="0" xfId="0" applyFont="1" applyFill="1" applyAlignment="1">
      <alignment horizontal="right" vertical="center" wrapText="1" indent="1"/>
    </xf>
    <xf numFmtId="0" fontId="12" fillId="2" borderId="0" xfId="0" applyFont="1" applyFill="1" applyAlignment="1">
      <alignment horizontal="center" vertical="center" wrapText="1"/>
    </xf>
    <xf numFmtId="0" fontId="2" fillId="0" borderId="20" xfId="0" applyFont="1" applyBorder="1" applyAlignment="1">
      <alignment horizontal="left" vertical="center" wrapText="1" indent="1"/>
    </xf>
    <xf numFmtId="169" fontId="2" fillId="2" borderId="20" xfId="0" applyNumberFormat="1" applyFont="1" applyFill="1" applyBorder="1" applyAlignment="1">
      <alignment horizontal="right" vertical="center" wrapText="1"/>
    </xf>
    <xf numFmtId="0" fontId="2" fillId="0" borderId="21" xfId="0" applyFont="1" applyBorder="1" applyAlignment="1">
      <alignment horizontal="left" vertical="center" wrapText="1" indent="1"/>
    </xf>
    <xf numFmtId="169" fontId="2" fillId="2" borderId="21" xfId="0" applyNumberFormat="1" applyFont="1" applyFill="1" applyBorder="1" applyAlignment="1">
      <alignment horizontal="right" vertical="center" wrapText="1"/>
    </xf>
    <xf numFmtId="169" fontId="2" fillId="0" borderId="21" xfId="0" applyNumberFormat="1" applyFont="1" applyBorder="1" applyAlignment="1">
      <alignment horizontal="right" vertical="center" wrapText="1"/>
    </xf>
    <xf numFmtId="0" fontId="12" fillId="2" borderId="0" xfId="0" applyFont="1" applyFill="1" applyAlignment="1">
      <alignment horizontal="left" vertical="center" wrapText="1" indent="1"/>
    </xf>
    <xf numFmtId="169" fontId="12" fillId="2" borderId="0" xfId="0" applyNumberFormat="1" applyFont="1" applyFill="1" applyAlignment="1">
      <alignment horizontal="right" vertical="center" wrapText="1"/>
    </xf>
    <xf numFmtId="0" fontId="1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169" fontId="2" fillId="2" borderId="0" xfId="0" applyNumberFormat="1" applyFont="1" applyFill="1" applyAlignment="1">
      <alignment horizontal="right" vertical="center" wrapText="1"/>
    </xf>
    <xf numFmtId="0" fontId="3" fillId="0" borderId="22" xfId="0" applyFont="1" applyBorder="1" applyAlignment="1">
      <alignment vertical="center" wrapText="1"/>
    </xf>
    <xf numFmtId="172" fontId="3" fillId="0" borderId="22" xfId="0" applyNumberFormat="1" applyFont="1" applyBorder="1" applyAlignment="1">
      <alignment vertical="center" wrapText="1"/>
    </xf>
    <xf numFmtId="169" fontId="3" fillId="0" borderId="22" xfId="0" applyNumberFormat="1" applyFont="1" applyBorder="1" applyAlignment="1">
      <alignment horizontal="right" vertical="center" wrapText="1"/>
    </xf>
    <xf numFmtId="0" fontId="3" fillId="0" borderId="23" xfId="0" applyFont="1" applyBorder="1" applyAlignment="1">
      <alignment vertical="center"/>
    </xf>
    <xf numFmtId="172" fontId="3" fillId="0" borderId="23" xfId="0" applyNumberFormat="1" applyFont="1" applyBorder="1" applyAlignment="1">
      <alignment vertical="center" wrapText="1"/>
    </xf>
    <xf numFmtId="169" fontId="3" fillId="0" borderId="23" xfId="0" applyNumberFormat="1" applyFont="1" applyBorder="1" applyAlignment="1">
      <alignment horizontal="right" vertical="center" wrapText="1"/>
    </xf>
    <xf numFmtId="0" fontId="3" fillId="0" borderId="24" xfId="0" applyFont="1" applyBorder="1" applyAlignment="1">
      <alignment vertical="center"/>
    </xf>
    <xf numFmtId="172" fontId="3" fillId="0" borderId="24" xfId="0" applyNumberFormat="1" applyFont="1" applyBorder="1" applyAlignment="1">
      <alignment vertical="center" wrapText="1"/>
    </xf>
    <xf numFmtId="169" fontId="3" fillId="0" borderId="24" xfId="0" applyNumberFormat="1" applyFont="1" applyBorder="1" applyAlignment="1">
      <alignment horizontal="right" vertical="center" wrapText="1"/>
    </xf>
    <xf numFmtId="0" fontId="3" fillId="0" borderId="25" xfId="0" applyFont="1" applyBorder="1" applyAlignment="1">
      <alignment vertical="center"/>
    </xf>
    <xf numFmtId="1" fontId="3" fillId="0" borderId="25" xfId="0" applyNumberFormat="1" applyFont="1" applyBorder="1" applyAlignment="1">
      <alignment vertical="center" wrapText="1"/>
    </xf>
    <xf numFmtId="1" fontId="3" fillId="0" borderId="25" xfId="0" applyNumberFormat="1" applyFont="1" applyBorder="1" applyAlignment="1">
      <alignment horizontal="right" vertical="center" wrapText="1"/>
    </xf>
    <xf numFmtId="169" fontId="3" fillId="0" borderId="25" xfId="0" applyNumberFormat="1" applyFont="1" applyBorder="1" applyAlignment="1">
      <alignment horizontal="right" vertical="center" wrapText="1"/>
    </xf>
    <xf numFmtId="172" fontId="4" fillId="56" borderId="20" xfId="0" applyNumberFormat="1" applyFont="1" applyFill="1" applyBorder="1" applyAlignment="1">
      <alignment vertical="center" wrapText="1"/>
    </xf>
    <xf numFmtId="0" fontId="20" fillId="0" borderId="0" xfId="2" applyFont="1" applyBorder="1"/>
    <xf numFmtId="1" fontId="20" fillId="0" borderId="0" xfId="0" applyNumberFormat="1" applyFont="1"/>
    <xf numFmtId="172" fontId="20" fillId="0" borderId="0" xfId="0" applyNumberFormat="1" applyFont="1"/>
    <xf numFmtId="0" fontId="3" fillId="0" borderId="26" xfId="0" applyFont="1" applyBorder="1" applyAlignment="1">
      <alignment vertical="center"/>
    </xf>
    <xf numFmtId="0" fontId="3" fillId="0" borderId="24" xfId="0" applyFont="1" applyBorder="1" applyAlignment="1">
      <alignment vertical="center" wrapText="1"/>
    </xf>
    <xf numFmtId="1" fontId="3" fillId="0" borderId="20" xfId="0" applyNumberFormat="1" applyFont="1" applyBorder="1" applyAlignment="1">
      <alignment vertical="center" wrapText="1"/>
    </xf>
    <xf numFmtId="1" fontId="3" fillId="0" borderId="20" xfId="0" applyNumberFormat="1" applyFont="1" applyBorder="1" applyAlignment="1">
      <alignment horizontal="right" vertical="center" wrapText="1"/>
    </xf>
    <xf numFmtId="169" fontId="3" fillId="0" borderId="20" xfId="0" applyNumberFormat="1" applyFont="1" applyBorder="1" applyAlignment="1">
      <alignment horizontal="right" vertical="center" wrapText="1"/>
    </xf>
    <xf numFmtId="172" fontId="4" fillId="56" borderId="24" xfId="0" applyNumberFormat="1" applyFont="1" applyFill="1" applyBorder="1" applyAlignment="1">
      <alignment vertical="center" wrapText="1"/>
    </xf>
    <xf numFmtId="172" fontId="4" fillId="56" borderId="21" xfId="0" applyNumberFormat="1" applyFont="1" applyFill="1" applyBorder="1" applyAlignment="1">
      <alignment vertical="center" wrapText="1"/>
    </xf>
    <xf numFmtId="0" fontId="79" fillId="0" borderId="0" xfId="2" applyFont="1" applyBorder="1"/>
    <xf numFmtId="172" fontId="3" fillId="0" borderId="20" xfId="0" applyNumberFormat="1" applyFont="1" applyBorder="1" applyAlignment="1">
      <alignment vertical="center" wrapText="1"/>
    </xf>
    <xf numFmtId="172" fontId="3" fillId="0" borderId="20" xfId="0" applyNumberFormat="1" applyFont="1" applyBorder="1" applyAlignment="1">
      <alignment horizontal="right" vertical="center" wrapText="1"/>
    </xf>
    <xf numFmtId="0" fontId="5" fillId="56" borderId="0" xfId="0" applyFont="1" applyFill="1" applyAlignment="1">
      <alignment vertical="center" wrapText="1"/>
    </xf>
    <xf numFmtId="172" fontId="4" fillId="56" borderId="0" xfId="0" applyNumberFormat="1" applyFont="1" applyFill="1" applyAlignment="1">
      <alignment horizontal="right" vertical="center" wrapText="1"/>
    </xf>
    <xf numFmtId="172" fontId="4" fillId="56" borderId="0" xfId="0" applyNumberFormat="1" applyFont="1" applyFill="1" applyAlignment="1">
      <alignment vertical="center" wrapText="1"/>
    </xf>
    <xf numFmtId="0" fontId="5" fillId="56" borderId="0" xfId="0" applyFont="1" applyFill="1" applyAlignment="1">
      <alignment horizontal="center" vertical="center" wrapText="1"/>
    </xf>
    <xf numFmtId="172" fontId="76" fillId="0" borderId="0" xfId="0" applyNumberFormat="1" applyFont="1"/>
    <xf numFmtId="49" fontId="15" fillId="0" borderId="0" xfId="659" applyNumberFormat="1" applyFont="1" applyFill="1" applyBorder="1" applyAlignment="1"/>
    <xf numFmtId="0" fontId="15" fillId="0" borderId="0" xfId="659" applyNumberFormat="1" applyFont="1" applyFill="1" applyBorder="1" applyAlignment="1"/>
    <xf numFmtId="0" fontId="12" fillId="3" borderId="0" xfId="0" applyFont="1" applyFill="1" applyAlignment="1">
      <alignment horizontal="left" wrapText="1"/>
    </xf>
    <xf numFmtId="0" fontId="12" fillId="3" borderId="0" xfId="0" applyFont="1" applyFill="1" applyAlignment="1">
      <alignment horizontal="center" wrapText="1"/>
    </xf>
    <xf numFmtId="0" fontId="2" fillId="0" borderId="20" xfId="0" applyFont="1" applyBorder="1" applyAlignment="1">
      <alignment horizontal="left"/>
    </xf>
    <xf numFmtId="0" fontId="2" fillId="0" borderId="20" xfId="0" applyFont="1" applyBorder="1" applyAlignment="1">
      <alignment horizontal="right"/>
    </xf>
    <xf numFmtId="170" fontId="2" fillId="0" borderId="20" xfId="0" applyNumberFormat="1" applyFont="1" applyBorder="1" applyAlignment="1">
      <alignment horizontal="right"/>
    </xf>
    <xf numFmtId="0" fontId="2" fillId="0" borderId="21" xfId="0" applyFont="1" applyBorder="1" applyAlignment="1">
      <alignment horizontal="left"/>
    </xf>
    <xf numFmtId="169" fontId="79" fillId="0" borderId="0" xfId="2" applyNumberFormat="1" applyFont="1" applyFill="1" applyBorder="1" applyAlignment="1">
      <alignment horizontal="left" vertical="center"/>
    </xf>
    <xf numFmtId="1" fontId="7" fillId="0" borderId="0" xfId="0" applyNumberFormat="1" applyFont="1" applyAlignment="1">
      <alignment horizontal="left"/>
    </xf>
    <xf numFmtId="0" fontId="105" fillId="0" borderId="0" xfId="0" applyFont="1"/>
    <xf numFmtId="0" fontId="12" fillId="0" borderId="20" xfId="0" applyFont="1" applyBorder="1" applyAlignment="1">
      <alignment vertical="center" wrapText="1"/>
    </xf>
    <xf numFmtId="166" fontId="12" fillId="2" borderId="0" xfId="0" applyNumberFormat="1" applyFont="1" applyFill="1" applyAlignment="1">
      <alignment horizontal="right" vertical="center" wrapText="1"/>
    </xf>
    <xf numFmtId="166" fontId="12" fillId="0" borderId="20" xfId="0" applyNumberFormat="1" applyFont="1" applyBorder="1" applyAlignment="1">
      <alignment horizontal="right" vertical="center" wrapText="1"/>
    </xf>
    <xf numFmtId="166" fontId="2" fillId="0" borderId="21" xfId="0" applyNumberFormat="1" applyFont="1" applyBorder="1" applyAlignment="1">
      <alignment horizontal="right" vertical="center" wrapText="1"/>
    </xf>
    <xf numFmtId="166" fontId="2" fillId="0" borderId="20" xfId="0" applyNumberFormat="1" applyFont="1" applyBorder="1" applyAlignment="1">
      <alignment horizontal="right" vertical="center" wrapText="1"/>
    </xf>
    <xf numFmtId="0" fontId="2" fillId="0" borderId="27" xfId="0" applyFont="1" applyBorder="1" applyAlignment="1">
      <alignment horizontal="left" vertical="center" wrapText="1" indent="1"/>
    </xf>
    <xf numFmtId="166" fontId="2" fillId="0" borderId="27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166" fontId="2" fillId="0" borderId="0" xfId="0" applyNumberFormat="1" applyFont="1" applyAlignment="1">
      <alignment horizontal="right" vertical="center" wrapText="1"/>
    </xf>
    <xf numFmtId="166" fontId="12" fillId="2" borderId="0" xfId="0" applyNumberFormat="1" applyFont="1" applyFill="1" applyAlignment="1">
      <alignment horizontal="left" vertical="center" wrapText="1"/>
    </xf>
    <xf numFmtId="166" fontId="12" fillId="2" borderId="0" xfId="0" applyNumberFormat="1" applyFont="1" applyFill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12" fillId="0" borderId="21" xfId="0" applyFont="1" applyBorder="1" applyAlignment="1">
      <alignment vertical="center" wrapText="1"/>
    </xf>
    <xf numFmtId="0" fontId="76" fillId="0" borderId="0" xfId="2" applyFont="1"/>
    <xf numFmtId="0" fontId="2" fillId="0" borderId="20" xfId="0" applyFont="1" applyBorder="1" applyAlignment="1">
      <alignment vertical="center" wrapText="1"/>
    </xf>
    <xf numFmtId="0" fontId="25" fillId="0" borderId="0" xfId="0" applyFont="1" applyAlignment="1" applyProtection="1">
      <alignment horizontal="left"/>
      <protection locked="0"/>
    </xf>
    <xf numFmtId="177" fontId="2" fillId="3" borderId="0" xfId="0" applyNumberFormat="1" applyFont="1" applyFill="1" applyAlignment="1">
      <alignment horizontal="right"/>
    </xf>
    <xf numFmtId="0" fontId="2" fillId="0" borderId="21" xfId="0" applyFont="1" applyBorder="1" applyAlignment="1" applyProtection="1">
      <alignment horizontal="left"/>
      <protection locked="0"/>
    </xf>
    <xf numFmtId="0" fontId="2" fillId="0" borderId="21" xfId="0" applyFont="1" applyBorder="1"/>
    <xf numFmtId="177" fontId="2" fillId="0" borderId="21" xfId="0" applyNumberFormat="1" applyFont="1" applyBorder="1" applyAlignment="1" applyProtection="1">
      <alignment horizontal="right"/>
      <protection locked="0"/>
    </xf>
    <xf numFmtId="176" fontId="15" fillId="0" borderId="20" xfId="658" applyNumberFormat="1" applyFont="1" applyBorder="1" applyAlignment="1">
      <alignment horizontal="right"/>
    </xf>
    <xf numFmtId="0" fontId="2" fillId="0" borderId="20" xfId="0" applyFont="1" applyBorder="1" applyAlignment="1" applyProtection="1">
      <alignment horizontal="left"/>
      <protection locked="0"/>
    </xf>
    <xf numFmtId="0" fontId="2" fillId="0" borderId="20" xfId="0" applyFont="1" applyBorder="1"/>
    <xf numFmtId="177" fontId="2" fillId="0" borderId="20" xfId="0" applyNumberFormat="1" applyFont="1" applyBorder="1" applyAlignment="1" applyProtection="1">
      <alignment horizontal="right"/>
      <protection locked="0"/>
    </xf>
    <xf numFmtId="0" fontId="2" fillId="0" borderId="0" xfId="0" applyFont="1" applyAlignment="1" applyProtection="1">
      <alignment horizontal="left"/>
      <protection locked="0"/>
    </xf>
    <xf numFmtId="177" fontId="2" fillId="0" borderId="0" xfId="0" applyNumberFormat="1" applyFont="1" applyAlignment="1" applyProtection="1">
      <alignment horizontal="right"/>
      <protection locked="0"/>
    </xf>
    <xf numFmtId="177" fontId="15" fillId="0" borderId="0" xfId="660" applyNumberFormat="1" applyAlignment="1">
      <alignment horizontal="right"/>
    </xf>
    <xf numFmtId="170" fontId="2" fillId="0" borderId="0" xfId="0" applyNumberFormat="1" applyFont="1" applyAlignment="1">
      <alignment horizontal="right"/>
    </xf>
    <xf numFmtId="170" fontId="106" fillId="0" borderId="0" xfId="660" applyNumberFormat="1" applyFont="1" applyAlignment="1">
      <alignment horizontal="right"/>
    </xf>
    <xf numFmtId="169" fontId="2" fillId="3" borderId="0" xfId="0" applyNumberFormat="1" applyFont="1" applyFill="1" applyAlignment="1">
      <alignment horizontal="right"/>
    </xf>
    <xf numFmtId="170" fontId="2" fillId="3" borderId="0" xfId="0" applyNumberFormat="1" applyFont="1" applyFill="1" applyAlignment="1">
      <alignment horizontal="right"/>
    </xf>
    <xf numFmtId="169" fontId="2" fillId="0" borderId="21" xfId="0" applyNumberFormat="1" applyFont="1" applyBorder="1" applyAlignment="1" applyProtection="1">
      <alignment horizontal="right"/>
      <protection locked="0"/>
    </xf>
    <xf numFmtId="169" fontId="2" fillId="0" borderId="20" xfId="0" applyNumberFormat="1" applyFont="1" applyBorder="1" applyAlignment="1" applyProtection="1">
      <alignment horizontal="right"/>
      <protection locked="0"/>
    </xf>
    <xf numFmtId="0" fontId="0" fillId="0" borderId="0" xfId="0" applyAlignment="1" applyProtection="1">
      <alignment horizontal="left"/>
      <protection locked="0"/>
    </xf>
    <xf numFmtId="170" fontId="0" fillId="0" borderId="0" xfId="0" applyNumberFormat="1"/>
    <xf numFmtId="169" fontId="0" fillId="0" borderId="0" xfId="0" applyNumberFormat="1" applyAlignment="1" applyProtection="1">
      <alignment horizontal="right"/>
      <protection locked="0"/>
    </xf>
    <xf numFmtId="0" fontId="12" fillId="55" borderId="0" xfId="661" applyFont="1" applyFill="1"/>
    <xf numFmtId="0" fontId="107" fillId="55" borderId="0" xfId="661" applyFont="1" applyFill="1"/>
    <xf numFmtId="0" fontId="14" fillId="55" borderId="0" xfId="0" applyFont="1" applyFill="1"/>
    <xf numFmtId="0" fontId="70" fillId="0" borderId="0" xfId="661" applyFont="1" applyAlignment="1">
      <alignment vertical="top" wrapText="1"/>
    </xf>
    <xf numFmtId="177" fontId="70" fillId="0" borderId="0" xfId="661" applyNumberFormat="1" applyFont="1" applyAlignment="1">
      <alignment horizontal="right" vertical="top" wrapText="1"/>
    </xf>
    <xf numFmtId="178" fontId="70" fillId="0" borderId="28" xfId="661" applyNumberFormat="1" applyFont="1" applyBorder="1" applyAlignment="1">
      <alignment vertical="top" wrapText="1"/>
    </xf>
    <xf numFmtId="0" fontId="70" fillId="0" borderId="28" xfId="661" applyFont="1" applyBorder="1" applyAlignment="1">
      <alignment wrapText="1"/>
    </xf>
    <xf numFmtId="177" fontId="70" fillId="0" borderId="28" xfId="661" applyNumberFormat="1" applyFont="1" applyBorder="1" applyAlignment="1">
      <alignment horizontal="right"/>
    </xf>
    <xf numFmtId="177" fontId="70" fillId="0" borderId="28" xfId="661" applyNumberFormat="1" applyFont="1" applyBorder="1" applyAlignment="1">
      <alignment horizontal="right" vertical="top" wrapText="1"/>
    </xf>
    <xf numFmtId="0" fontId="70" fillId="0" borderId="28" xfId="661" applyFont="1" applyBorder="1" applyAlignment="1">
      <alignment vertical="top" wrapText="1"/>
    </xf>
    <xf numFmtId="178" fontId="70" fillId="0" borderId="0" xfId="661" applyNumberFormat="1" applyFont="1" applyAlignment="1">
      <alignment vertical="top" wrapText="1"/>
    </xf>
    <xf numFmtId="178" fontId="70" fillId="0" borderId="29" xfId="661" applyNumberFormat="1" applyFont="1" applyBorder="1" applyAlignment="1">
      <alignment vertical="top" wrapText="1"/>
    </xf>
    <xf numFmtId="0" fontId="12" fillId="55" borderId="0" xfId="0" applyFont="1" applyFill="1" applyAlignment="1">
      <alignment vertical="center"/>
    </xf>
    <xf numFmtId="164" fontId="12" fillId="55" borderId="0" xfId="0" applyNumberFormat="1" applyFont="1" applyFill="1" applyAlignment="1">
      <alignment vertical="center"/>
    </xf>
    <xf numFmtId="177" fontId="12" fillId="55" borderId="0" xfId="0" applyNumberFormat="1" applyFont="1" applyFill="1" applyAlignment="1">
      <alignment horizontal="right" vertical="center"/>
    </xf>
    <xf numFmtId="0" fontId="2" fillId="55" borderId="0" xfId="0" applyFont="1" applyFill="1"/>
    <xf numFmtId="0" fontId="74" fillId="0" borderId="0" xfId="661" applyFont="1"/>
    <xf numFmtId="164" fontId="14" fillId="0" borderId="0" xfId="661" applyNumberFormat="1" applyFont="1"/>
    <xf numFmtId="178" fontId="3" fillId="0" borderId="0" xfId="661" applyNumberFormat="1" applyFont="1"/>
    <xf numFmtId="164" fontId="3" fillId="0" borderId="0" xfId="661" applyNumberFormat="1" applyFont="1"/>
    <xf numFmtId="178" fontId="2" fillId="0" borderId="0" xfId="661" applyNumberFormat="1" applyFont="1"/>
    <xf numFmtId="164" fontId="107" fillId="55" borderId="0" xfId="661" applyNumberFormat="1" applyFont="1" applyFill="1"/>
    <xf numFmtId="0" fontId="14" fillId="55" borderId="0" xfId="661" applyFont="1" applyFill="1"/>
    <xf numFmtId="177" fontId="70" fillId="0" borderId="0" xfId="661" applyNumberFormat="1" applyFont="1" applyAlignment="1">
      <alignment vertical="top"/>
    </xf>
    <xf numFmtId="177" fontId="70" fillId="0" borderId="28" xfId="661" applyNumberFormat="1" applyFont="1" applyBorder="1" applyAlignment="1">
      <alignment vertical="top"/>
    </xf>
    <xf numFmtId="177" fontId="70" fillId="0" borderId="28" xfId="661" applyNumberFormat="1" applyFont="1" applyBorder="1"/>
    <xf numFmtId="177" fontId="70" fillId="0" borderId="0" xfId="661" applyNumberFormat="1" applyFont="1" applyAlignment="1">
      <alignment vertical="top" wrapText="1"/>
    </xf>
    <xf numFmtId="177" fontId="70" fillId="0" borderId="28" xfId="661" applyNumberFormat="1" applyFont="1" applyBorder="1" applyAlignment="1">
      <alignment vertical="top" wrapText="1"/>
    </xf>
    <xf numFmtId="177" fontId="12" fillId="55" borderId="0" xfId="0" applyNumberFormat="1" applyFont="1" applyFill="1" applyAlignment="1">
      <alignment vertical="center"/>
    </xf>
    <xf numFmtId="0" fontId="12" fillId="55" borderId="0" xfId="0" applyFont="1" applyFill="1"/>
    <xf numFmtId="164" fontId="2" fillId="55" borderId="0" xfId="0" applyNumberFormat="1" applyFont="1" applyFill="1"/>
    <xf numFmtId="0" fontId="107" fillId="55" borderId="0" xfId="0" applyFont="1" applyFill="1"/>
    <xf numFmtId="0" fontId="2" fillId="0" borderId="28" xfId="0" applyFont="1" applyBorder="1"/>
    <xf numFmtId="177" fontId="2" fillId="0" borderId="28" xfId="0" applyNumberFormat="1" applyFont="1" applyBorder="1" applyAlignment="1">
      <alignment horizontal="right"/>
    </xf>
    <xf numFmtId="0" fontId="70" fillId="0" borderId="28" xfId="0" applyFont="1" applyBorder="1" applyAlignment="1">
      <alignment horizontal="left"/>
    </xf>
    <xf numFmtId="0" fontId="70" fillId="0" borderId="28" xfId="0" applyFont="1" applyBorder="1"/>
    <xf numFmtId="0" fontId="2" fillId="0" borderId="30" xfId="0" applyFont="1" applyBorder="1"/>
    <xf numFmtId="0" fontId="70" fillId="0" borderId="30" xfId="0" applyFont="1" applyBorder="1" applyAlignment="1">
      <alignment horizontal="left"/>
    </xf>
    <xf numFmtId="0" fontId="70" fillId="0" borderId="30" xfId="0" applyFont="1" applyBorder="1"/>
    <xf numFmtId="177" fontId="2" fillId="0" borderId="0" xfId="0" applyNumberFormat="1" applyFont="1" applyAlignment="1">
      <alignment horizontal="right"/>
    </xf>
    <xf numFmtId="0" fontId="70" fillId="0" borderId="0" xfId="0" applyFont="1" applyAlignment="1">
      <alignment horizontal="left"/>
    </xf>
    <xf numFmtId="0" fontId="70" fillId="0" borderId="0" xfId="0" applyFont="1"/>
    <xf numFmtId="0" fontId="72" fillId="55" borderId="0" xfId="0" applyFont="1" applyFill="1" applyAlignment="1">
      <alignment horizontal="left" vertical="center"/>
    </xf>
    <xf numFmtId="164" fontId="14" fillId="0" borderId="0" xfId="0" applyNumberFormat="1" applyFont="1"/>
    <xf numFmtId="164" fontId="107" fillId="55" borderId="0" xfId="0" applyNumberFormat="1" applyFont="1" applyFill="1"/>
    <xf numFmtId="178" fontId="70" fillId="0" borderId="28" xfId="0" applyNumberFormat="1" applyFont="1" applyBorder="1"/>
    <xf numFmtId="178" fontId="70" fillId="0" borderId="30" xfId="0" applyNumberFormat="1" applyFont="1" applyBorder="1"/>
    <xf numFmtId="177" fontId="12" fillId="55" borderId="0" xfId="0" applyNumberFormat="1" applyFont="1" applyFill="1" applyAlignment="1">
      <alignment horizontal="right"/>
    </xf>
    <xf numFmtId="0" fontId="72" fillId="55" borderId="0" xfId="0" applyFont="1" applyFill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7" fillId="0" borderId="0" xfId="0" applyFont="1" applyAlignment="1">
      <alignment horizontal="left" vertical="center" indent="1"/>
    </xf>
    <xf numFmtId="0" fontId="2" fillId="0" borderId="0" xfId="0" applyFont="1" applyAlignment="1">
      <alignment horizontal="right"/>
    </xf>
    <xf numFmtId="0" fontId="108" fillId="0" borderId="0" xfId="0" applyFont="1"/>
    <xf numFmtId="0" fontId="3" fillId="0" borderId="20" xfId="0" applyFont="1" applyBorder="1" applyAlignment="1">
      <alignment vertical="center"/>
    </xf>
    <xf numFmtId="169" fontId="8" fillId="0" borderId="21" xfId="0" applyNumberFormat="1" applyFont="1" applyBorder="1" applyAlignment="1">
      <alignment vertical="center"/>
    </xf>
    <xf numFmtId="169" fontId="3" fillId="0" borderId="20" xfId="0" applyNumberFormat="1" applyFont="1" applyBorder="1" applyAlignment="1">
      <alignment horizontal="right" vertical="center"/>
    </xf>
    <xf numFmtId="0" fontId="3" fillId="0" borderId="21" xfId="0" applyFont="1" applyBorder="1" applyAlignment="1">
      <alignment vertical="center"/>
    </xf>
    <xf numFmtId="169" fontId="8" fillId="2" borderId="0" xfId="0" applyNumberFormat="1" applyFont="1" applyFill="1" applyAlignment="1">
      <alignment vertical="center"/>
    </xf>
    <xf numFmtId="169" fontId="8" fillId="0" borderId="0" xfId="0" applyNumberFormat="1" applyFont="1" applyAlignment="1">
      <alignment vertical="center"/>
    </xf>
    <xf numFmtId="169" fontId="5" fillId="2" borderId="20" xfId="0" applyNumberFormat="1" applyFont="1" applyFill="1" applyBorder="1" applyAlignment="1">
      <alignment vertical="center"/>
    </xf>
    <xf numFmtId="0" fontId="109" fillId="0" borderId="0" xfId="0" applyFont="1" applyAlignment="1">
      <alignment vertical="center"/>
    </xf>
    <xf numFmtId="169" fontId="8" fillId="0" borderId="27" xfId="0" applyNumberFormat="1" applyFont="1" applyBorder="1" applyAlignment="1">
      <alignment vertical="center"/>
    </xf>
    <xf numFmtId="1" fontId="3" fillId="0" borderId="20" xfId="0" applyNumberFormat="1" applyFont="1" applyBorder="1" applyAlignment="1">
      <alignment horizontal="right" vertical="center"/>
    </xf>
    <xf numFmtId="169" fontId="5" fillId="2" borderId="0" xfId="0" applyNumberFormat="1" applyFont="1" applyFill="1" applyAlignment="1">
      <alignment vertical="center"/>
    </xf>
    <xf numFmtId="0" fontId="12" fillId="0" borderId="0" xfId="0" applyFont="1" applyAlignment="1">
      <alignment horizontal="right" vertical="center" wrapText="1"/>
    </xf>
    <xf numFmtId="166" fontId="2" fillId="0" borderId="21" xfId="0" applyNumberFormat="1" applyFont="1" applyBorder="1" applyAlignment="1">
      <alignment horizontal="right"/>
    </xf>
    <xf numFmtId="0" fontId="2" fillId="0" borderId="27" xfId="0" applyFont="1" applyBorder="1"/>
    <xf numFmtId="166" fontId="2" fillId="0" borderId="27" xfId="0" applyNumberFormat="1" applyFont="1" applyBorder="1" applyAlignment="1">
      <alignment horizontal="right"/>
    </xf>
    <xf numFmtId="177" fontId="12" fillId="3" borderId="0" xfId="0" applyNumberFormat="1" applyFont="1" applyFill="1" applyAlignment="1">
      <alignment horizontal="left" vertical="center" wrapText="1"/>
    </xf>
    <xf numFmtId="177" fontId="12" fillId="3" borderId="0" xfId="0" applyNumberFormat="1" applyFont="1" applyFill="1" applyAlignment="1">
      <alignment horizontal="right" vertical="center" wrapText="1"/>
    </xf>
    <xf numFmtId="166" fontId="3" fillId="0" borderId="0" xfId="0" applyNumberFormat="1" applyFont="1"/>
    <xf numFmtId="166" fontId="2" fillId="0" borderId="0" xfId="0" applyNumberFormat="1" applyFont="1" applyAlignment="1">
      <alignment horizontal="right"/>
    </xf>
    <xf numFmtId="166" fontId="2" fillId="0" borderId="0" xfId="0" applyNumberFormat="1" applyFont="1" applyAlignment="1">
      <alignment horizontal="center"/>
    </xf>
    <xf numFmtId="166" fontId="12" fillId="3" borderId="0" xfId="0" applyNumberFormat="1" applyFont="1" applyFill="1"/>
    <xf numFmtId="166" fontId="2" fillId="0" borderId="20" xfId="0" applyNumberFormat="1" applyFont="1" applyBorder="1"/>
    <xf numFmtId="177" fontId="2" fillId="0" borderId="0" xfId="0" applyNumberFormat="1" applyFont="1"/>
    <xf numFmtId="166" fontId="2" fillId="0" borderId="21" xfId="0" applyNumberFormat="1" applyFont="1" applyBorder="1"/>
    <xf numFmtId="177" fontId="2" fillId="0" borderId="20" xfId="0" applyNumberFormat="1" applyFont="1" applyBorder="1"/>
    <xf numFmtId="177" fontId="2" fillId="0" borderId="21" xfId="0" applyNumberFormat="1" applyFont="1" applyBorder="1"/>
    <xf numFmtId="177" fontId="2" fillId="0" borderId="27" xfId="0" applyNumberFormat="1" applyFont="1" applyBorder="1"/>
    <xf numFmtId="0" fontId="12" fillId="3" borderId="0" xfId="0" applyFont="1" applyFill="1" applyAlignment="1">
      <alignment horizontal="center"/>
    </xf>
    <xf numFmtId="0" fontId="12" fillId="3" borderId="0" xfId="0" applyFont="1" applyFill="1" applyAlignment="1">
      <alignment horizontal="left"/>
    </xf>
    <xf numFmtId="177" fontId="12" fillId="0" borderId="20" xfId="0" applyNumberFormat="1" applyFont="1" applyBorder="1"/>
    <xf numFmtId="177" fontId="12" fillId="0" borderId="21" xfId="0" applyNumberFormat="1" applyFont="1" applyBorder="1"/>
    <xf numFmtId="177" fontId="12" fillId="0" borderId="27" xfId="0" applyNumberFormat="1" applyFont="1" applyBorder="1"/>
    <xf numFmtId="0" fontId="12" fillId="3" borderId="0" xfId="0" applyFont="1" applyFill="1" applyAlignment="1">
      <alignment horizontal="left" vertical="top"/>
    </xf>
    <xf numFmtId="0" fontId="111" fillId="0" borderId="0" xfId="0" applyFont="1"/>
    <xf numFmtId="0" fontId="12" fillId="3" borderId="0" xfId="0" applyFont="1" applyFill="1" applyAlignment="1">
      <alignment wrapText="1"/>
    </xf>
    <xf numFmtId="0" fontId="79" fillId="0" borderId="0" xfId="2" applyFont="1" applyFill="1" applyBorder="1" applyAlignment="1"/>
    <xf numFmtId="166" fontId="76" fillId="0" borderId="0" xfId="0" applyNumberFormat="1" applyFont="1"/>
    <xf numFmtId="177" fontId="12" fillId="3" borderId="32" xfId="0" applyNumberFormat="1" applyFont="1" applyFill="1" applyBorder="1" applyAlignment="1">
      <alignment horizontal="right" vertical="center" wrapText="1"/>
    </xf>
    <xf numFmtId="174" fontId="0" fillId="0" borderId="0" xfId="0" applyNumberFormat="1"/>
    <xf numFmtId="169" fontId="12" fillId="3" borderId="0" xfId="0" applyNumberFormat="1" applyFont="1" applyFill="1" applyAlignment="1">
      <alignment horizontal="right"/>
    </xf>
    <xf numFmtId="0" fontId="70" fillId="0" borderId="29" xfId="661" applyFont="1" applyBorder="1" applyAlignment="1">
      <alignment vertical="top" wrapText="1"/>
    </xf>
    <xf numFmtId="177" fontId="72" fillId="55" borderId="0" xfId="0" applyNumberFormat="1" applyFont="1" applyFill="1" applyAlignment="1">
      <alignment vertical="center"/>
    </xf>
    <xf numFmtId="177" fontId="2" fillId="0" borderId="28" xfId="0" applyNumberFormat="1" applyFont="1" applyBorder="1"/>
    <xf numFmtId="0" fontId="12" fillId="0" borderId="0" xfId="0" applyFont="1" applyAlignment="1">
      <alignment horizontal="left" vertical="center"/>
    </xf>
    <xf numFmtId="169" fontId="8" fillId="0" borderId="1" xfId="0" applyNumberFormat="1" applyFont="1" applyBorder="1" applyAlignment="1">
      <alignment horizontal="right" vertical="center"/>
    </xf>
    <xf numFmtId="169" fontId="8" fillId="0" borderId="0" xfId="0" applyNumberFormat="1" applyFont="1" applyAlignment="1">
      <alignment horizontal="right" vertical="center"/>
    </xf>
    <xf numFmtId="169" fontId="8" fillId="0" borderId="2" xfId="0" applyNumberFormat="1" applyFont="1" applyBorder="1" applyAlignment="1">
      <alignment horizontal="right" vertical="center"/>
    </xf>
    <xf numFmtId="0" fontId="12" fillId="3" borderId="0" xfId="0" applyFont="1" applyFill="1" applyAlignment="1">
      <alignment horizontal="right" wrapText="1"/>
    </xf>
    <xf numFmtId="169" fontId="2" fillId="0" borderId="20" xfId="0" applyNumberFormat="1" applyFont="1" applyBorder="1" applyAlignment="1">
      <alignment horizontal="right"/>
    </xf>
    <xf numFmtId="169" fontId="2" fillId="0" borderId="21" xfId="0" applyNumberFormat="1" applyFont="1" applyBorder="1" applyAlignment="1">
      <alignment horizontal="right"/>
    </xf>
    <xf numFmtId="0" fontId="3" fillId="3" borderId="0" xfId="0" applyFont="1" applyFill="1"/>
    <xf numFmtId="0" fontId="4" fillId="3" borderId="0" xfId="0" applyFont="1" applyFill="1" applyAlignment="1">
      <alignment horizontal="right"/>
    </xf>
    <xf numFmtId="0" fontId="4" fillId="0" borderId="33" xfId="0" applyFont="1" applyBorder="1"/>
    <xf numFmtId="169" fontId="4" fillId="3" borderId="33" xfId="0" applyNumberFormat="1" applyFont="1" applyFill="1" applyBorder="1" applyAlignment="1">
      <alignment horizontal="right"/>
    </xf>
    <xf numFmtId="169" fontId="4" fillId="0" borderId="33" xfId="0" applyNumberFormat="1" applyFont="1" applyBorder="1" applyAlignment="1">
      <alignment horizontal="right"/>
    </xf>
    <xf numFmtId="0" fontId="3" fillId="0" borderId="34" xfId="0" applyFont="1" applyBorder="1" applyAlignment="1">
      <alignment horizontal="left" indent="2"/>
    </xf>
    <xf numFmtId="169" fontId="3" fillId="3" borderId="33" xfId="0" applyNumberFormat="1" applyFont="1" applyFill="1" applyBorder="1" applyAlignment="1">
      <alignment horizontal="right"/>
    </xf>
    <xf numFmtId="169" fontId="3" fillId="0" borderId="33" xfId="0" applyNumberFormat="1" applyFont="1" applyBorder="1" applyAlignment="1">
      <alignment horizontal="right"/>
    </xf>
    <xf numFmtId="169" fontId="3" fillId="0" borderId="34" xfId="0" applyNumberFormat="1" applyFont="1" applyBorder="1" applyAlignment="1">
      <alignment horizontal="right"/>
    </xf>
    <xf numFmtId="0" fontId="4" fillId="0" borderId="34" xfId="0" applyFont="1" applyBorder="1"/>
    <xf numFmtId="0" fontId="4" fillId="0" borderId="34" xfId="0" applyFont="1" applyBorder="1" applyAlignment="1">
      <alignment horizontal="left" indent="2"/>
    </xf>
    <xf numFmtId="0" fontId="4" fillId="0" borderId="34" xfId="0" applyFont="1" applyBorder="1" applyAlignment="1">
      <alignment horizontal="left" indent="1"/>
    </xf>
    <xf numFmtId="169" fontId="4" fillId="0" borderId="34" xfId="0" applyNumberFormat="1" applyFont="1" applyBorder="1" applyAlignment="1">
      <alignment horizontal="right"/>
    </xf>
    <xf numFmtId="0" fontId="3" fillId="0" borderId="34" xfId="0" applyFont="1" applyBorder="1" applyAlignment="1">
      <alignment horizontal="left" wrapText="1" indent="2"/>
    </xf>
    <xf numFmtId="0" fontId="18" fillId="57" borderId="34" xfId="0" applyFont="1" applyFill="1" applyBorder="1" applyAlignment="1">
      <alignment horizontal="left" vertical="center" wrapText="1" indent="1"/>
    </xf>
    <xf numFmtId="0" fontId="17" fillId="57" borderId="34" xfId="0" applyFont="1" applyFill="1" applyBorder="1" applyAlignment="1">
      <alignment horizontal="left" vertical="top" indent="2"/>
    </xf>
    <xf numFmtId="0" fontId="3" fillId="0" borderId="35" xfId="0" applyFont="1" applyBorder="1" applyAlignment="1">
      <alignment horizontal="left" indent="2"/>
    </xf>
    <xf numFmtId="169" fontId="3" fillId="0" borderId="35" xfId="0" applyNumberFormat="1" applyFont="1" applyBorder="1" applyAlignment="1">
      <alignment horizontal="right"/>
    </xf>
    <xf numFmtId="0" fontId="17" fillId="57" borderId="35" xfId="0" applyFont="1" applyFill="1" applyBorder="1" applyAlignment="1">
      <alignment horizontal="left" vertical="top" indent="2"/>
    </xf>
    <xf numFmtId="0" fontId="7" fillId="0" borderId="0" xfId="0" applyFont="1" applyAlignment="1">
      <alignment horizontal="left" indent="2"/>
    </xf>
    <xf numFmtId="166" fontId="6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0" fontId="17" fillId="57" borderId="0" xfId="0" applyFont="1" applyFill="1" applyAlignment="1">
      <alignment horizontal="left" vertical="top" wrapText="1" indent="2"/>
    </xf>
    <xf numFmtId="0" fontId="4" fillId="3" borderId="0" xfId="0" applyFont="1" applyFill="1" applyAlignment="1">
      <alignment wrapText="1"/>
    </xf>
    <xf numFmtId="0" fontId="0" fillId="0" borderId="20" xfId="0" applyBorder="1"/>
    <xf numFmtId="0" fontId="0" fillId="0" borderId="21" xfId="0" applyBorder="1"/>
    <xf numFmtId="169" fontId="3" fillId="3" borderId="36" xfId="0" applyNumberFormat="1" applyFont="1" applyFill="1" applyBorder="1" applyAlignment="1">
      <alignment horizontal="right"/>
    </xf>
    <xf numFmtId="0" fontId="0" fillId="0" borderId="27" xfId="0" applyBorder="1"/>
    <xf numFmtId="0" fontId="4" fillId="3" borderId="0" xfId="0" applyFont="1" applyFill="1" applyAlignment="1">
      <alignment horizontal="left"/>
    </xf>
    <xf numFmtId="169" fontId="4" fillId="3" borderId="0" xfId="0" applyNumberFormat="1" applyFont="1" applyFill="1" applyAlignment="1">
      <alignment horizontal="right"/>
    </xf>
    <xf numFmtId="0" fontId="78" fillId="0" borderId="0" xfId="0" applyFont="1"/>
    <xf numFmtId="0" fontId="2" fillId="0" borderId="37" xfId="0" applyFont="1" applyBorder="1"/>
    <xf numFmtId="169" fontId="2" fillId="0" borderId="37" xfId="0" applyNumberFormat="1" applyFont="1" applyBorder="1"/>
    <xf numFmtId="169" fontId="2" fillId="0" borderId="37" xfId="0" applyNumberFormat="1" applyFont="1" applyBorder="1" applyAlignment="1">
      <alignment horizontal="right"/>
    </xf>
    <xf numFmtId="0" fontId="106" fillId="0" borderId="0" xfId="660" applyFont="1"/>
    <xf numFmtId="0" fontId="20" fillId="0" borderId="0" xfId="2" applyFont="1" applyFill="1" applyBorder="1"/>
    <xf numFmtId="0" fontId="17" fillId="57" borderId="34" xfId="0" applyFont="1" applyFill="1" applyBorder="1" applyAlignment="1">
      <alignment horizontal="left" indent="2"/>
    </xf>
    <xf numFmtId="0" fontId="3" fillId="0" borderId="36" xfId="0" applyFont="1" applyBorder="1" applyAlignment="1">
      <alignment horizontal="left" indent="2"/>
    </xf>
    <xf numFmtId="169" fontId="3" fillId="0" borderId="0" xfId="0" applyNumberFormat="1" applyFont="1" applyAlignment="1">
      <alignment horizontal="right"/>
    </xf>
    <xf numFmtId="169" fontId="3" fillId="0" borderId="36" xfId="0" applyNumberFormat="1" applyFont="1" applyBorder="1" applyAlignment="1">
      <alignment horizontal="right"/>
    </xf>
    <xf numFmtId="169" fontId="4" fillId="3" borderId="0" xfId="0" applyNumberFormat="1" applyFont="1" applyFill="1" applyAlignment="1">
      <alignment horizontal="left"/>
    </xf>
    <xf numFmtId="169" fontId="4" fillId="3" borderId="33" xfId="0" applyNumberFormat="1" applyFont="1" applyFill="1" applyBorder="1" applyAlignment="1">
      <alignment horizontal="left"/>
    </xf>
    <xf numFmtId="0" fontId="3" fillId="0" borderId="33" xfId="0" applyFont="1" applyBorder="1" applyAlignment="1">
      <alignment horizontal="left" indent="2"/>
    </xf>
    <xf numFmtId="0" fontId="17" fillId="57" borderId="33" xfId="0" applyFont="1" applyFill="1" applyBorder="1" applyAlignment="1">
      <alignment horizontal="left" wrapText="1" indent="2"/>
    </xf>
    <xf numFmtId="0" fontId="17" fillId="57" borderId="35" xfId="0" applyFont="1" applyFill="1" applyBorder="1" applyAlignment="1">
      <alignment horizontal="left" wrapText="1" indent="2"/>
    </xf>
    <xf numFmtId="169" fontId="4" fillId="3" borderId="0" xfId="0" applyNumberFormat="1" applyFont="1" applyFill="1"/>
    <xf numFmtId="169" fontId="4" fillId="0" borderId="0" xfId="0" applyNumberFormat="1" applyFont="1" applyAlignment="1">
      <alignment horizontal="right"/>
    </xf>
    <xf numFmtId="0" fontId="17" fillId="57" borderId="36" xfId="0" applyFont="1" applyFill="1" applyBorder="1" applyAlignment="1">
      <alignment horizontal="left" wrapText="1" indent="2"/>
    </xf>
    <xf numFmtId="169" fontId="76" fillId="0" borderId="0" xfId="0" applyNumberFormat="1" applyFont="1"/>
    <xf numFmtId="0" fontId="114" fillId="0" borderId="0" xfId="0" applyFont="1"/>
    <xf numFmtId="169" fontId="1" fillId="0" borderId="0" xfId="0" applyNumberFormat="1" applyFont="1"/>
    <xf numFmtId="0" fontId="4" fillId="0" borderId="21" xfId="0" applyFont="1" applyBorder="1" applyAlignment="1">
      <alignment horizontal="left" wrapText="1" indent="1"/>
    </xf>
    <xf numFmtId="169" fontId="4" fillId="0" borderId="21" xfId="0" applyNumberFormat="1" applyFont="1" applyBorder="1" applyAlignment="1">
      <alignment horizontal="right" wrapText="1"/>
    </xf>
    <xf numFmtId="0" fontId="4" fillId="0" borderId="21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wrapText="1" indent="1"/>
    </xf>
    <xf numFmtId="0" fontId="3" fillId="0" borderId="21" xfId="0" applyFont="1" applyBorder="1" applyAlignment="1">
      <alignment horizontal="left" wrapText="1" indent="1"/>
    </xf>
    <xf numFmtId="169" fontId="3" fillId="3" borderId="0" xfId="0" applyNumberFormat="1" applyFont="1" applyFill="1" applyAlignment="1">
      <alignment horizontal="right"/>
    </xf>
    <xf numFmtId="169" fontId="3" fillId="0" borderId="21" xfId="0" applyNumberFormat="1" applyFont="1" applyBorder="1" applyAlignment="1">
      <alignment horizontal="right" wrapText="1"/>
    </xf>
    <xf numFmtId="0" fontId="3" fillId="0" borderId="21" xfId="0" applyFont="1" applyBorder="1" applyAlignment="1">
      <alignment horizontal="left" indent="2"/>
    </xf>
    <xf numFmtId="0" fontId="4" fillId="0" borderId="21" xfId="0" applyFont="1" applyBorder="1" applyAlignment="1">
      <alignment vertical="center"/>
    </xf>
    <xf numFmtId="0" fontId="3" fillId="0" borderId="21" xfId="0" applyFont="1" applyBorder="1" applyAlignment="1">
      <alignment wrapText="1"/>
    </xf>
    <xf numFmtId="0" fontId="4" fillId="0" borderId="27" xfId="0" applyFont="1" applyBorder="1" applyAlignment="1">
      <alignment horizontal="left" wrapText="1" indent="1"/>
    </xf>
    <xf numFmtId="169" fontId="3" fillId="0" borderId="0" xfId="0" applyNumberFormat="1" applyFont="1" applyAlignment="1">
      <alignment horizontal="right" wrapText="1"/>
    </xf>
    <xf numFmtId="170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 indent="1"/>
    </xf>
    <xf numFmtId="169" fontId="3" fillId="0" borderId="31" xfId="0" applyNumberFormat="1" applyFont="1" applyBorder="1" applyAlignment="1">
      <alignment horizontal="right" wrapText="1"/>
    </xf>
    <xf numFmtId="170" fontId="3" fillId="0" borderId="31" xfId="0" applyNumberFormat="1" applyFont="1" applyBorder="1" applyAlignment="1">
      <alignment horizontal="right" vertical="center" wrapText="1"/>
    </xf>
    <xf numFmtId="0" fontId="3" fillId="0" borderId="31" xfId="0" applyFont="1" applyBorder="1" applyAlignment="1">
      <alignment wrapText="1"/>
    </xf>
    <xf numFmtId="0" fontId="0" fillId="0" borderId="31" xfId="0" applyBorder="1"/>
    <xf numFmtId="0" fontId="3" fillId="0" borderId="20" xfId="0" applyFont="1" applyBorder="1" applyAlignment="1">
      <alignment horizontal="left" wrapText="1" indent="1"/>
    </xf>
    <xf numFmtId="0" fontId="3" fillId="0" borderId="27" xfId="0" applyFont="1" applyBorder="1" applyAlignment="1">
      <alignment horizontal="left" wrapText="1" indent="1"/>
    </xf>
    <xf numFmtId="169" fontId="3" fillId="0" borderId="38" xfId="0" applyNumberFormat="1" applyFont="1" applyBorder="1" applyAlignment="1">
      <alignment horizontal="right" wrapText="1"/>
    </xf>
    <xf numFmtId="0" fontId="3" fillId="0" borderId="39" xfId="0" applyFont="1" applyBorder="1" applyAlignment="1">
      <alignment horizontal="left" wrapText="1" indent="1"/>
    </xf>
    <xf numFmtId="169" fontId="10" fillId="0" borderId="0" xfId="0" applyNumberFormat="1" applyFont="1" applyAlignment="1">
      <alignment vertical="center"/>
    </xf>
    <xf numFmtId="0" fontId="4" fillId="0" borderId="20" xfId="0" applyFont="1" applyBorder="1" applyAlignment="1">
      <alignment vertical="center" wrapText="1"/>
    </xf>
    <xf numFmtId="169" fontId="4" fillId="2" borderId="20" xfId="0" applyNumberFormat="1" applyFont="1" applyFill="1" applyBorder="1" applyAlignment="1">
      <alignment vertical="center" wrapText="1"/>
    </xf>
    <xf numFmtId="169" fontId="4" fillId="0" borderId="20" xfId="0" applyNumberFormat="1" applyFont="1" applyBorder="1" applyAlignment="1">
      <alignment vertical="center" wrapText="1"/>
    </xf>
    <xf numFmtId="0" fontId="3" fillId="0" borderId="21" xfId="0" applyFont="1" applyBorder="1" applyAlignment="1">
      <alignment horizontal="left" vertical="center" wrapText="1" indent="1"/>
    </xf>
    <xf numFmtId="169" fontId="3" fillId="2" borderId="21" xfId="0" applyNumberFormat="1" applyFont="1" applyFill="1" applyBorder="1" applyAlignment="1">
      <alignment vertical="center" wrapText="1"/>
    </xf>
    <xf numFmtId="169" fontId="3" fillId="0" borderId="21" xfId="0" applyNumberFormat="1" applyFont="1" applyBorder="1" applyAlignment="1">
      <alignment vertical="center" wrapText="1"/>
    </xf>
    <xf numFmtId="0" fontId="3" fillId="0" borderId="21" xfId="0" applyFont="1" applyBorder="1" applyAlignment="1">
      <alignment horizontal="left" vertical="center" indent="1"/>
    </xf>
    <xf numFmtId="169" fontId="3" fillId="2" borderId="21" xfId="0" applyNumberFormat="1" applyFont="1" applyFill="1" applyBorder="1" applyAlignment="1">
      <alignment horizontal="right" vertical="center" wrapText="1"/>
    </xf>
    <xf numFmtId="169" fontId="3" fillId="0" borderId="21" xfId="0" applyNumberFormat="1" applyFont="1" applyBorder="1" applyAlignment="1">
      <alignment horizontal="right" vertical="center" wrapText="1"/>
    </xf>
    <xf numFmtId="0" fontId="3" fillId="0" borderId="40" xfId="0" applyFont="1" applyBorder="1" applyAlignment="1">
      <alignment horizontal="left" vertical="center" wrapText="1" indent="1"/>
    </xf>
    <xf numFmtId="169" fontId="3" fillId="2" borderId="40" xfId="0" applyNumberFormat="1" applyFont="1" applyFill="1" applyBorder="1" applyAlignment="1">
      <alignment vertical="center" wrapText="1"/>
    </xf>
    <xf numFmtId="169" fontId="3" fillId="0" borderId="40" xfId="0" applyNumberFormat="1" applyFont="1" applyBorder="1" applyAlignment="1">
      <alignment vertical="center" wrapText="1"/>
    </xf>
    <xf numFmtId="0" fontId="3" fillId="0" borderId="20" xfId="0" applyFont="1" applyBorder="1" applyAlignment="1">
      <alignment horizontal="left" vertical="center" wrapText="1" indent="1"/>
    </xf>
    <xf numFmtId="169" fontId="3" fillId="2" borderId="20" xfId="0" applyNumberFormat="1" applyFont="1" applyFill="1" applyBorder="1" applyAlignment="1">
      <alignment vertical="center" wrapText="1"/>
    </xf>
    <xf numFmtId="169" fontId="3" fillId="0" borderId="20" xfId="0" applyNumberFormat="1" applyFont="1" applyBorder="1" applyAlignment="1">
      <alignment vertical="center" wrapText="1"/>
    </xf>
    <xf numFmtId="169" fontId="4" fillId="0" borderId="40" xfId="0" applyNumberFormat="1" applyFont="1" applyBorder="1" applyAlignment="1">
      <alignment vertical="center" wrapText="1"/>
    </xf>
    <xf numFmtId="169" fontId="70" fillId="0" borderId="0" xfId="661" applyNumberFormat="1" applyFont="1" applyAlignment="1">
      <alignment vertical="top" wrapText="1"/>
    </xf>
    <xf numFmtId="169" fontId="70" fillId="0" borderId="28" xfId="661" applyNumberFormat="1" applyFont="1" applyBorder="1" applyAlignment="1">
      <alignment vertical="top" wrapText="1"/>
    </xf>
    <xf numFmtId="169" fontId="70" fillId="0" borderId="28" xfId="661" applyNumberFormat="1" applyFont="1" applyBorder="1"/>
    <xf numFmtId="0" fontId="70" fillId="0" borderId="29" xfId="661" applyFont="1" applyBorder="1" applyAlignment="1">
      <alignment horizontal="left" vertical="top"/>
    </xf>
    <xf numFmtId="169" fontId="72" fillId="55" borderId="0" xfId="0" applyNumberFormat="1" applyFont="1" applyFill="1" applyAlignment="1">
      <alignment vertical="center"/>
    </xf>
    <xf numFmtId="177" fontId="2" fillId="0" borderId="29" xfId="0" applyNumberFormat="1" applyFont="1" applyBorder="1"/>
    <xf numFmtId="0" fontId="70" fillId="0" borderId="29" xfId="0" applyFont="1" applyBorder="1"/>
    <xf numFmtId="0" fontId="2" fillId="0" borderId="0" xfId="6" applyFont="1"/>
    <xf numFmtId="0" fontId="2" fillId="0" borderId="0" xfId="6" applyFont="1" applyAlignment="1">
      <alignment horizontal="center"/>
    </xf>
    <xf numFmtId="0" fontId="12" fillId="0" borderId="0" xfId="6" applyFont="1"/>
    <xf numFmtId="0" fontId="3" fillId="3" borderId="0" xfId="0" applyFont="1" applyFill="1" applyAlignment="1">
      <alignment horizontal="center"/>
    </xf>
    <xf numFmtId="0" fontId="3" fillId="0" borderId="33" xfId="0" applyFont="1" applyBorder="1"/>
    <xf numFmtId="1" fontId="3" fillId="0" borderId="33" xfId="0" applyNumberFormat="1" applyFont="1" applyBorder="1" applyAlignment="1">
      <alignment horizontal="center"/>
    </xf>
    <xf numFmtId="1" fontId="3" fillId="0" borderId="20" xfId="0" applyNumberFormat="1" applyFont="1" applyBorder="1" applyAlignment="1">
      <alignment horizontal="center"/>
    </xf>
    <xf numFmtId="1" fontId="4" fillId="3" borderId="20" xfId="0" applyNumberFormat="1" applyFont="1" applyFill="1" applyBorder="1" applyAlignment="1">
      <alignment horizontal="center"/>
    </xf>
    <xf numFmtId="174" fontId="4" fillId="0" borderId="33" xfId="0" applyNumberFormat="1" applyFont="1" applyBorder="1" applyAlignment="1">
      <alignment horizontal="center"/>
    </xf>
    <xf numFmtId="169" fontId="4" fillId="0" borderId="33" xfId="0" applyNumberFormat="1" applyFont="1" applyBorder="1" applyAlignment="1">
      <alignment horizontal="center"/>
    </xf>
    <xf numFmtId="0" fontId="3" fillId="0" borderId="34" xfId="0" applyFont="1" applyBorder="1"/>
    <xf numFmtId="169" fontId="4" fillId="0" borderId="34" xfId="0" applyNumberFormat="1" applyFont="1" applyBorder="1" applyAlignment="1">
      <alignment horizontal="center"/>
    </xf>
    <xf numFmtId="174" fontId="3" fillId="0" borderId="33" xfId="0" applyNumberFormat="1" applyFont="1" applyBorder="1" applyAlignment="1">
      <alignment horizontal="center"/>
    </xf>
    <xf numFmtId="169" fontId="3" fillId="0" borderId="34" xfId="0" applyNumberFormat="1" applyFont="1" applyBorder="1" applyAlignment="1">
      <alignment horizontal="center"/>
    </xf>
    <xf numFmtId="0" fontId="3" fillId="0" borderId="36" xfId="0" applyFont="1" applyBorder="1"/>
    <xf numFmtId="1" fontId="3" fillId="0" borderId="0" xfId="0" applyNumberFormat="1" applyFont="1" applyAlignment="1">
      <alignment horizontal="center"/>
    </xf>
    <xf numFmtId="1" fontId="4" fillId="3" borderId="0" xfId="0" applyNumberFormat="1" applyFont="1" applyFill="1" applyAlignment="1">
      <alignment horizontal="left"/>
    </xf>
    <xf numFmtId="1" fontId="4" fillId="3" borderId="0" xfId="0" applyNumberFormat="1" applyFont="1" applyFill="1" applyAlignment="1">
      <alignment horizontal="center"/>
    </xf>
    <xf numFmtId="0" fontId="7" fillId="0" borderId="0" xfId="6" applyFont="1" applyAlignment="1">
      <alignment horizontal="left"/>
    </xf>
    <xf numFmtId="1" fontId="4" fillId="0" borderId="0" xfId="0" applyNumberFormat="1" applyFont="1" applyAlignment="1">
      <alignment horizontal="center"/>
    </xf>
    <xf numFmtId="174" fontId="3" fillId="0" borderId="36" xfId="0" applyNumberFormat="1" applyFont="1" applyBorder="1" applyAlignment="1">
      <alignment horizontal="center"/>
    </xf>
    <xf numFmtId="169" fontId="3" fillId="0" borderId="36" xfId="0" applyNumberFormat="1" applyFont="1" applyBorder="1" applyAlignment="1">
      <alignment horizontal="center"/>
    </xf>
    <xf numFmtId="1" fontId="4" fillId="3" borderId="0" xfId="0" applyNumberFormat="1" applyFont="1" applyFill="1"/>
    <xf numFmtId="174" fontId="4" fillId="3" borderId="41" xfId="0" applyNumberFormat="1" applyFont="1" applyFill="1" applyBorder="1" applyAlignment="1">
      <alignment horizontal="center"/>
    </xf>
    <xf numFmtId="0" fontId="70" fillId="0" borderId="0" xfId="6" applyFont="1" applyAlignment="1">
      <alignment horizontal="center"/>
    </xf>
    <xf numFmtId="0" fontId="34" fillId="0" borderId="0" xfId="6"/>
    <xf numFmtId="0" fontId="70" fillId="0" borderId="0" xfId="6" applyFont="1" applyAlignment="1">
      <alignment horizontal="left"/>
    </xf>
    <xf numFmtId="0" fontId="107" fillId="0" borderId="0" xfId="0" applyFont="1"/>
    <xf numFmtId="0" fontId="4" fillId="0" borderId="33" xfId="0" applyFont="1" applyBorder="1" applyAlignment="1">
      <alignment horizontal="left" indent="2"/>
    </xf>
    <xf numFmtId="177" fontId="12" fillId="0" borderId="0" xfId="0" applyNumberFormat="1" applyFont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 indent="1"/>
    </xf>
    <xf numFmtId="169" fontId="2" fillId="2" borderId="1" xfId="0" applyNumberFormat="1" applyFont="1" applyFill="1" applyBorder="1" applyAlignment="1">
      <alignment horizontal="right" vertical="center" wrapText="1"/>
    </xf>
    <xf numFmtId="169" fontId="2" fillId="0" borderId="1" xfId="0" applyNumberFormat="1" applyFont="1" applyBorder="1" applyAlignment="1">
      <alignment horizontal="right" vertical="center" wrapText="1"/>
    </xf>
    <xf numFmtId="169" fontId="2" fillId="0" borderId="1" xfId="0" applyNumberFormat="1" applyFont="1" applyBorder="1" applyAlignment="1">
      <alignment vertical="center" wrapText="1"/>
    </xf>
    <xf numFmtId="1" fontId="2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 wrapText="1" indent="1"/>
    </xf>
    <xf numFmtId="169" fontId="2" fillId="0" borderId="0" xfId="0" applyNumberFormat="1" applyFont="1" applyAlignment="1">
      <alignment vertical="center" wrapText="1"/>
    </xf>
    <xf numFmtId="169" fontId="12" fillId="2" borderId="0" xfId="0" applyNumberFormat="1" applyFont="1" applyFill="1" applyAlignment="1">
      <alignment horizontal="left" vertical="center" wrapText="1"/>
    </xf>
    <xf numFmtId="0" fontId="72" fillId="2" borderId="0" xfId="0" applyFont="1" applyFill="1" applyAlignment="1">
      <alignment vertical="center" wrapText="1"/>
    </xf>
    <xf numFmtId="0" fontId="72" fillId="2" borderId="0" xfId="0" applyFont="1" applyFill="1" applyAlignment="1">
      <alignment horizontal="center" vertical="center" wrapText="1"/>
    </xf>
    <xf numFmtId="169" fontId="70" fillId="2" borderId="1" xfId="0" applyNumberFormat="1" applyFont="1" applyFill="1" applyBorder="1" applyAlignment="1">
      <alignment vertical="center" wrapText="1"/>
    </xf>
    <xf numFmtId="169" fontId="70" fillId="0" borderId="42" xfId="0" applyNumberFormat="1" applyFont="1" applyBorder="1"/>
    <xf numFmtId="0" fontId="3" fillId="0" borderId="2" xfId="0" applyFont="1" applyBorder="1" applyAlignment="1">
      <alignment horizontal="left" vertical="center" wrapText="1" indent="1"/>
    </xf>
    <xf numFmtId="169" fontId="70" fillId="2" borderId="0" xfId="0" applyNumberFormat="1" applyFont="1" applyFill="1" applyAlignment="1">
      <alignment vertical="center" wrapText="1"/>
    </xf>
    <xf numFmtId="169" fontId="70" fillId="0" borderId="0" xfId="0" applyNumberFormat="1" applyFont="1"/>
    <xf numFmtId="169" fontId="72" fillId="2" borderId="0" xfId="0" applyNumberFormat="1" applyFont="1" applyFill="1" applyAlignment="1">
      <alignment vertical="center" wrapText="1"/>
    </xf>
    <xf numFmtId="169" fontId="12" fillId="3" borderId="0" xfId="0" applyNumberFormat="1" applyFont="1" applyFill="1" applyAlignment="1">
      <alignment horizontal="right" vertical="center" wrapText="1"/>
    </xf>
    <xf numFmtId="169" fontId="12" fillId="3" borderId="0" xfId="0" applyNumberFormat="1" applyFont="1" applyFill="1"/>
    <xf numFmtId="0" fontId="2" fillId="0" borderId="3" xfId="0" applyFont="1" applyBorder="1" applyAlignment="1">
      <alignment horizontal="left" vertical="center" wrapText="1" indent="1"/>
    </xf>
    <xf numFmtId="169" fontId="2" fillId="2" borderId="3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169" fontId="3" fillId="0" borderId="2" xfId="0" applyNumberFormat="1" applyFont="1" applyBorder="1" applyAlignment="1">
      <alignment horizontal="right" vertical="center"/>
    </xf>
    <xf numFmtId="1" fontId="4" fillId="0" borderId="0" xfId="0" applyNumberFormat="1" applyFont="1" applyAlignment="1">
      <alignment horizontal="right" vertical="center"/>
    </xf>
    <xf numFmtId="172" fontId="4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left"/>
    </xf>
    <xf numFmtId="0" fontId="4" fillId="3" borderId="43" xfId="0" applyFont="1" applyFill="1" applyBorder="1" applyAlignment="1">
      <alignment horizontal="right" vertical="center" wrapText="1"/>
    </xf>
    <xf numFmtId="0" fontId="4" fillId="3" borderId="43" xfId="0" applyFont="1" applyFill="1" applyBorder="1" applyAlignment="1">
      <alignment horizontal="center" vertical="center" wrapText="1"/>
    </xf>
    <xf numFmtId="1" fontId="3" fillId="3" borderId="44" xfId="0" applyNumberFormat="1" applyFont="1" applyFill="1" applyBorder="1" applyAlignment="1">
      <alignment vertical="center" wrapText="1"/>
    </xf>
    <xf numFmtId="1" fontId="3" fillId="3" borderId="45" xfId="0" applyNumberFormat="1" applyFont="1" applyFill="1" applyBorder="1" applyAlignment="1">
      <alignment vertical="center" wrapText="1"/>
    </xf>
    <xf numFmtId="1" fontId="4" fillId="3" borderId="3" xfId="0" applyNumberFormat="1" applyFont="1" applyFill="1" applyBorder="1" applyAlignment="1">
      <alignment vertical="center" wrapText="1"/>
    </xf>
    <xf numFmtId="172" fontId="4" fillId="0" borderId="3" xfId="0" applyNumberFormat="1" applyFont="1" applyBorder="1" applyAlignment="1">
      <alignment vertical="center" wrapText="1"/>
    </xf>
    <xf numFmtId="1" fontId="3" fillId="3" borderId="43" xfId="0" applyNumberFormat="1" applyFont="1" applyFill="1" applyBorder="1" applyAlignment="1">
      <alignment vertical="center" wrapText="1"/>
    </xf>
    <xf numFmtId="0" fontId="14" fillId="58" borderId="0" xfId="0" applyFont="1" applyFill="1"/>
    <xf numFmtId="0" fontId="14" fillId="58" borderId="0" xfId="0" applyFont="1" applyFill="1" applyAlignment="1">
      <alignment horizontal="right"/>
    </xf>
    <xf numFmtId="0" fontId="12" fillId="58" borderId="0" xfId="0" applyFont="1" applyFill="1" applyAlignment="1">
      <alignment horizontal="left"/>
    </xf>
    <xf numFmtId="0" fontId="12" fillId="58" borderId="0" xfId="0" applyFont="1" applyFill="1" applyAlignment="1">
      <alignment horizontal="right" wrapText="1"/>
    </xf>
    <xf numFmtId="0" fontId="12" fillId="58" borderId="0" xfId="0" applyFont="1" applyFill="1" applyAlignment="1">
      <alignment horizontal="center" wrapText="1"/>
    </xf>
    <xf numFmtId="0" fontId="4" fillId="59" borderId="0" xfId="0" applyFont="1" applyFill="1" applyAlignment="1">
      <alignment horizontal="center" vertical="center" wrapText="1"/>
    </xf>
    <xf numFmtId="0" fontId="4" fillId="0" borderId="21" xfId="0" applyFont="1" applyBorder="1" applyAlignment="1">
      <alignment vertical="center" wrapText="1"/>
    </xf>
    <xf numFmtId="169" fontId="4" fillId="0" borderId="21" xfId="0" applyNumberFormat="1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107" fillId="2" borderId="0" xfId="0" applyFont="1" applyFill="1" applyAlignment="1">
      <alignment vertical="center" wrapText="1"/>
    </xf>
    <xf numFmtId="0" fontId="4" fillId="0" borderId="20" xfId="0" applyFont="1" applyBorder="1" applyAlignment="1">
      <alignment horizontal="left" vertical="center" wrapText="1" indent="1"/>
    </xf>
    <xf numFmtId="169" fontId="4" fillId="2" borderId="20" xfId="0" applyNumberFormat="1" applyFont="1" applyFill="1" applyBorder="1" applyAlignment="1">
      <alignment horizontal="right" vertical="center" wrapText="1"/>
    </xf>
    <xf numFmtId="169" fontId="4" fillId="0" borderId="20" xfId="0" applyNumberFormat="1" applyFont="1" applyBorder="1" applyAlignment="1">
      <alignment horizontal="right" vertical="center" wrapText="1"/>
    </xf>
    <xf numFmtId="0" fontId="4" fillId="0" borderId="21" xfId="0" applyFont="1" applyBorder="1" applyAlignment="1">
      <alignment horizontal="left" vertical="center" wrapText="1" indent="1"/>
    </xf>
    <xf numFmtId="169" fontId="4" fillId="2" borderId="21" xfId="0" applyNumberFormat="1" applyFont="1" applyFill="1" applyBorder="1" applyAlignment="1">
      <alignment horizontal="right" vertical="center" wrapText="1"/>
    </xf>
    <xf numFmtId="169" fontId="4" fillId="0" borderId="21" xfId="0" applyNumberFormat="1" applyFont="1" applyBorder="1" applyAlignment="1">
      <alignment horizontal="right" vertical="center" wrapText="1"/>
    </xf>
    <xf numFmtId="0" fontId="3" fillId="0" borderId="21" xfId="0" applyFont="1" applyBorder="1" applyAlignment="1">
      <alignment horizontal="right" vertical="center" wrapText="1"/>
    </xf>
    <xf numFmtId="0" fontId="3" fillId="0" borderId="0" xfId="0" applyFont="1" applyAlignment="1">
      <alignment horizontal="right"/>
    </xf>
    <xf numFmtId="0" fontId="12" fillId="58" borderId="0" xfId="0" applyFont="1" applyFill="1"/>
    <xf numFmtId="0" fontId="12" fillId="58" borderId="0" xfId="0" applyFont="1" applyFill="1" applyAlignment="1">
      <alignment horizontal="right"/>
    </xf>
    <xf numFmtId="0" fontId="2" fillId="58" borderId="0" xfId="0" applyFont="1" applyFill="1"/>
    <xf numFmtId="166" fontId="2" fillId="58" borderId="0" xfId="0" applyNumberFormat="1" applyFont="1" applyFill="1"/>
    <xf numFmtId="0" fontId="2" fillId="58" borderId="0" xfId="0" applyFont="1" applyFill="1" applyAlignment="1">
      <alignment horizontal="right"/>
    </xf>
    <xf numFmtId="1" fontId="2" fillId="0" borderId="20" xfId="0" applyNumberFormat="1" applyFont="1" applyBorder="1" applyAlignment="1">
      <alignment horizontal="right"/>
    </xf>
    <xf numFmtId="1" fontId="2" fillId="0" borderId="21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right"/>
    </xf>
    <xf numFmtId="166" fontId="12" fillId="58" borderId="0" xfId="0" applyNumberFormat="1" applyFont="1" applyFill="1" applyAlignment="1">
      <alignment horizontal="right"/>
    </xf>
    <xf numFmtId="166" fontId="14" fillId="0" borderId="0" xfId="0" applyNumberFormat="1" applyFont="1"/>
    <xf numFmtId="0" fontId="14" fillId="0" borderId="0" xfId="0" applyFont="1" applyAlignment="1">
      <alignment horizontal="right"/>
    </xf>
    <xf numFmtId="0" fontId="107" fillId="58" borderId="0" xfId="0" applyFont="1" applyFill="1"/>
    <xf numFmtId="0" fontId="0" fillId="60" borderId="0" xfId="0" applyFill="1"/>
    <xf numFmtId="0" fontId="2" fillId="0" borderId="37" xfId="0" applyFont="1" applyBorder="1" applyAlignment="1">
      <alignment horizontal="left"/>
    </xf>
    <xf numFmtId="0" fontId="14" fillId="2" borderId="0" xfId="0" applyFont="1" applyFill="1" applyAlignment="1">
      <alignment horizontal="right" vertical="center" wrapText="1"/>
    </xf>
    <xf numFmtId="0" fontId="18" fillId="0" borderId="0" xfId="0" applyFont="1"/>
    <xf numFmtId="0" fontId="17" fillId="0" borderId="0" xfId="0" applyFont="1"/>
    <xf numFmtId="0" fontId="23" fillId="2" borderId="0" xfId="0" applyFont="1" applyFill="1" applyAlignment="1">
      <alignment horizontal="right" vertical="center" wrapText="1"/>
    </xf>
    <xf numFmtId="3" fontId="10" fillId="0" borderId="0" xfId="0" applyNumberFormat="1" applyFont="1" applyAlignment="1">
      <alignment vertical="center"/>
    </xf>
    <xf numFmtId="169" fontId="4" fillId="0" borderId="1" xfId="0" applyNumberFormat="1" applyFont="1" applyBorder="1" applyAlignment="1">
      <alignment horizontal="left" vertical="center" wrapText="1"/>
    </xf>
    <xf numFmtId="169" fontId="3" fillId="0" borderId="1" xfId="0" applyNumberFormat="1" applyFont="1" applyBorder="1" applyAlignment="1">
      <alignment horizontal="left" vertical="center" wrapText="1"/>
    </xf>
    <xf numFmtId="169" fontId="3" fillId="0" borderId="46" xfId="0" applyNumberFormat="1" applyFont="1" applyBorder="1" applyAlignment="1">
      <alignment vertical="center" wrapText="1"/>
    </xf>
    <xf numFmtId="169" fontId="17" fillId="0" borderId="1" xfId="0" applyNumberFormat="1" applyFont="1" applyBorder="1" applyAlignment="1">
      <alignment horizontal="left" vertical="center" wrapText="1"/>
    </xf>
    <xf numFmtId="169" fontId="3" fillId="0" borderId="2" xfId="0" applyNumberFormat="1" applyFont="1" applyBorder="1" applyAlignment="1">
      <alignment vertical="center" wrapText="1"/>
    </xf>
    <xf numFmtId="169" fontId="17" fillId="0" borderId="0" xfId="0" applyNumberFormat="1" applyFont="1"/>
    <xf numFmtId="0" fontId="115" fillId="0" borderId="0" xfId="2" applyFont="1" applyAlignment="1">
      <alignment vertical="center"/>
    </xf>
    <xf numFmtId="0" fontId="70" fillId="0" borderId="0" xfId="661" applyFont="1" applyAlignment="1">
      <alignment horizontal="left" vertical="top" wrapText="1"/>
    </xf>
    <xf numFmtId="0" fontId="0" fillId="0" borderId="0" xfId="0" applyAlignment="1">
      <alignment horizontal="left" vertical="center"/>
    </xf>
    <xf numFmtId="177" fontId="3" fillId="0" borderId="1" xfId="0" applyNumberFormat="1" applyFont="1" applyBorder="1" applyAlignment="1">
      <alignment horizontal="right" vertical="center" wrapText="1"/>
    </xf>
    <xf numFmtId="179" fontId="4" fillId="2" borderId="47" xfId="0" applyNumberFormat="1" applyFont="1" applyFill="1" applyBorder="1" applyAlignment="1">
      <alignment horizontal="right" vertical="center" wrapText="1" indent="1"/>
    </xf>
    <xf numFmtId="179" fontId="3" fillId="0" borderId="47" xfId="0" applyNumberFormat="1" applyFont="1" applyBorder="1" applyAlignment="1">
      <alignment horizontal="right" vertical="center" wrapText="1" indent="1"/>
    </xf>
    <xf numFmtId="174" fontId="4" fillId="2" borderId="47" xfId="0" applyNumberFormat="1" applyFont="1" applyFill="1" applyBorder="1" applyAlignment="1">
      <alignment horizontal="right" vertical="center" wrapText="1" indent="1"/>
    </xf>
    <xf numFmtId="174" fontId="3" fillId="0" borderId="47" xfId="0" applyNumberFormat="1" applyFont="1" applyBorder="1" applyAlignment="1">
      <alignment horizontal="right" vertical="center" wrapText="1" indent="1"/>
    </xf>
    <xf numFmtId="0" fontId="32" fillId="0" borderId="0" xfId="0" applyFont="1"/>
    <xf numFmtId="177" fontId="4" fillId="0" borderId="1" xfId="0" applyNumberFormat="1" applyFont="1" applyBorder="1" applyAlignment="1">
      <alignment horizontal="right" vertical="center"/>
    </xf>
    <xf numFmtId="177" fontId="4" fillId="0" borderId="1" xfId="0" applyNumberFormat="1" applyFont="1" applyBorder="1" applyAlignment="1">
      <alignment horizontal="right" vertical="center" wrapText="1"/>
    </xf>
    <xf numFmtId="177" fontId="3" fillId="2" borderId="1" xfId="0" applyNumberFormat="1" applyFont="1" applyFill="1" applyBorder="1" applyAlignment="1">
      <alignment horizontal="right" vertical="center" wrapText="1"/>
    </xf>
    <xf numFmtId="177" fontId="4" fillId="2" borderId="1" xfId="0" applyNumberFormat="1" applyFont="1" applyFill="1" applyBorder="1" applyAlignment="1">
      <alignment horizontal="right" vertical="center" wrapText="1"/>
    </xf>
    <xf numFmtId="177" fontId="18" fillId="0" borderId="1" xfId="0" applyNumberFormat="1" applyFont="1" applyBorder="1" applyAlignment="1">
      <alignment horizontal="right" vertical="center" wrapText="1"/>
    </xf>
    <xf numFmtId="177" fontId="3" fillId="0" borderId="0" xfId="0" applyNumberFormat="1" applyFont="1" applyAlignment="1">
      <alignment horizontal="right" vertical="center" wrapText="1"/>
    </xf>
    <xf numFmtId="177" fontId="4" fillId="2" borderId="0" xfId="0" applyNumberFormat="1" applyFont="1" applyFill="1" applyAlignment="1">
      <alignment horizontal="right" vertical="center"/>
    </xf>
    <xf numFmtId="0" fontId="76" fillId="0" borderId="0" xfId="0" applyFont="1" applyAlignment="1">
      <alignment vertical="center" wrapText="1"/>
    </xf>
    <xf numFmtId="0" fontId="76" fillId="0" borderId="0" xfId="0" applyFont="1" applyAlignment="1">
      <alignment horizontal="left" vertical="center"/>
    </xf>
    <xf numFmtId="1" fontId="4" fillId="2" borderId="0" xfId="0" applyNumberFormat="1" applyFont="1" applyFill="1" applyAlignment="1">
      <alignment vertical="center"/>
    </xf>
    <xf numFmtId="1" fontId="5" fillId="3" borderId="0" xfId="0" applyNumberFormat="1" applyFont="1" applyFill="1" applyAlignment="1">
      <alignment horizontal="right" vertical="center"/>
    </xf>
    <xf numFmtId="177" fontId="3" fillId="0" borderId="1" xfId="0" applyNumberFormat="1" applyFont="1" applyBorder="1" applyAlignment="1">
      <alignment vertical="center"/>
    </xf>
    <xf numFmtId="177" fontId="3" fillId="0" borderId="2" xfId="0" applyNumberFormat="1" applyFont="1" applyBorder="1" applyAlignment="1">
      <alignment vertical="center"/>
    </xf>
    <xf numFmtId="177" fontId="3" fillId="0" borderId="2" xfId="0" applyNumberFormat="1" applyFont="1" applyBorder="1" applyAlignment="1">
      <alignment horizontal="right" vertical="center"/>
    </xf>
    <xf numFmtId="177" fontId="3" fillId="0" borderId="0" xfId="0" applyNumberFormat="1" applyFont="1" applyAlignment="1">
      <alignment vertical="center"/>
    </xf>
    <xf numFmtId="177" fontId="3" fillId="0" borderId="0" xfId="0" applyNumberFormat="1" applyFont="1" applyAlignment="1">
      <alignment horizontal="right" vertical="center"/>
    </xf>
    <xf numFmtId="177" fontId="4" fillId="3" borderId="0" xfId="0" applyNumberFormat="1" applyFont="1" applyFill="1" applyAlignment="1">
      <alignment horizontal="right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/>
    </xf>
    <xf numFmtId="0" fontId="8" fillId="0" borderId="0" xfId="0" applyFont="1" applyAlignment="1">
      <alignment vertical="center" wrapText="1"/>
    </xf>
    <xf numFmtId="169" fontId="8" fillId="0" borderId="3" xfId="0" applyNumberFormat="1" applyFont="1" applyBorder="1" applyAlignment="1">
      <alignment horizontal="right" vertical="center"/>
    </xf>
    <xf numFmtId="177" fontId="3" fillId="0" borderId="1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vertical="center" wrapText="1"/>
    </xf>
    <xf numFmtId="169" fontId="4" fillId="0" borderId="0" xfId="0" applyNumberFormat="1" applyFont="1" applyAlignment="1">
      <alignment horizontal="left" vertical="center" wrapText="1"/>
    </xf>
    <xf numFmtId="177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180" fontId="12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169" fontId="12" fillId="2" borderId="20" xfId="0" applyNumberFormat="1" applyFont="1" applyFill="1" applyBorder="1" applyAlignment="1">
      <alignment horizontal="left" vertical="center" wrapText="1"/>
    </xf>
    <xf numFmtId="169" fontId="2" fillId="0" borderId="0" xfId="0" applyNumberFormat="1" applyFont="1"/>
    <xf numFmtId="0" fontId="3" fillId="0" borderId="22" xfId="0" applyFont="1" applyBorder="1" applyAlignment="1">
      <alignment vertical="center"/>
    </xf>
    <xf numFmtId="169" fontId="3" fillId="2" borderId="22" xfId="0" applyNumberFormat="1" applyFont="1" applyFill="1" applyBorder="1" applyAlignment="1">
      <alignment horizontal="right" vertical="center" wrapText="1"/>
    </xf>
    <xf numFmtId="0" fontId="3" fillId="0" borderId="48" xfId="0" applyFont="1" applyBorder="1" applyAlignment="1">
      <alignment vertical="center"/>
    </xf>
    <xf numFmtId="169" fontId="3" fillId="0" borderId="48" xfId="0" applyNumberFormat="1" applyFont="1" applyBorder="1" applyAlignment="1">
      <alignment horizontal="right" vertical="center" wrapText="1"/>
    </xf>
    <xf numFmtId="0" fontId="12" fillId="2" borderId="0" xfId="0" applyFont="1" applyFill="1" applyAlignment="1">
      <alignment vertical="center"/>
    </xf>
    <xf numFmtId="1" fontId="3" fillId="0" borderId="23" xfId="0" applyNumberFormat="1" applyFont="1" applyBorder="1" applyAlignment="1">
      <alignment horizontal="right" vertical="center" wrapText="1"/>
    </xf>
    <xf numFmtId="169" fontId="3" fillId="2" borderId="23" xfId="0" applyNumberFormat="1" applyFont="1" applyFill="1" applyBorder="1" applyAlignment="1">
      <alignment horizontal="right" vertical="center" wrapText="1"/>
    </xf>
    <xf numFmtId="169" fontId="1" fillId="0" borderId="0" xfId="0" applyNumberFormat="1" applyFont="1" applyAlignment="1">
      <alignment vertical="center"/>
    </xf>
    <xf numFmtId="180" fontId="3" fillId="0" borderId="22" xfId="0" applyNumberFormat="1" applyFont="1" applyBorder="1" applyAlignment="1">
      <alignment horizontal="right" vertical="center" wrapText="1"/>
    </xf>
    <xf numFmtId="2" fontId="3" fillId="0" borderId="23" xfId="0" applyNumberFormat="1" applyFont="1" applyBorder="1" applyAlignment="1">
      <alignment horizontal="right" vertical="center" wrapText="1"/>
    </xf>
    <xf numFmtId="2" fontId="3" fillId="0" borderId="23" xfId="0" applyNumberFormat="1" applyFont="1" applyBorder="1" applyAlignment="1">
      <alignment vertical="center"/>
    </xf>
    <xf numFmtId="174" fontId="3" fillId="0" borderId="23" xfId="0" applyNumberFormat="1" applyFont="1" applyBorder="1" applyAlignment="1">
      <alignment horizontal="right" vertical="center" wrapText="1"/>
    </xf>
    <xf numFmtId="180" fontId="3" fillId="0" borderId="23" xfId="0" applyNumberFormat="1" applyFont="1" applyBorder="1" applyAlignment="1">
      <alignment horizontal="right" vertical="center" wrapText="1"/>
    </xf>
    <xf numFmtId="0" fontId="12" fillId="0" borderId="0" xfId="0" applyFont="1" applyAlignment="1">
      <alignment horizontal="left" wrapText="1"/>
    </xf>
    <xf numFmtId="0" fontId="2" fillId="0" borderId="33" xfId="0" applyFont="1" applyBorder="1" applyAlignment="1">
      <alignment horizontal="left"/>
    </xf>
    <xf numFmtId="1" fontId="2" fillId="0" borderId="33" xfId="0" applyNumberFormat="1" applyFont="1" applyBorder="1" applyAlignment="1">
      <alignment horizontal="right"/>
    </xf>
    <xf numFmtId="1" fontId="0" fillId="0" borderId="33" xfId="0" applyNumberFormat="1" applyBorder="1" applyAlignment="1">
      <alignment horizontal="right"/>
    </xf>
    <xf numFmtId="173" fontId="0" fillId="0" borderId="0" xfId="0" applyNumberFormat="1"/>
    <xf numFmtId="169" fontId="2" fillId="0" borderId="0" xfId="0" applyNumberFormat="1" applyFont="1" applyAlignment="1">
      <alignment horizontal="left"/>
    </xf>
    <xf numFmtId="0" fontId="4" fillId="0" borderId="20" xfId="0" applyFont="1" applyBorder="1" applyAlignment="1">
      <alignment horizontal="left" vertical="center" wrapText="1"/>
    </xf>
    <xf numFmtId="0" fontId="4" fillId="0" borderId="27" xfId="0" applyFont="1" applyBorder="1" applyAlignment="1">
      <alignment vertical="center" wrapText="1"/>
    </xf>
    <xf numFmtId="169" fontId="3" fillId="0" borderId="27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3" fontId="4" fillId="0" borderId="20" xfId="0" applyNumberFormat="1" applyFont="1" applyBorder="1" applyAlignment="1">
      <alignment vertical="center" wrapText="1"/>
    </xf>
    <xf numFmtId="0" fontId="3" fillId="0" borderId="21" xfId="0" applyFont="1" applyBorder="1" applyAlignment="1">
      <alignment horizontal="left" vertical="center" wrapText="1"/>
    </xf>
    <xf numFmtId="3" fontId="4" fillId="0" borderId="21" xfId="0" applyNumberFormat="1" applyFont="1" applyBorder="1" applyAlignment="1">
      <alignment horizontal="left" vertical="center" wrapText="1"/>
    </xf>
    <xf numFmtId="3" fontId="3" fillId="0" borderId="20" xfId="0" applyNumberFormat="1" applyFont="1" applyBorder="1" applyAlignment="1">
      <alignment horizontal="left" vertical="center" wrapText="1"/>
    </xf>
    <xf numFmtId="177" fontId="107" fillId="55" borderId="0" xfId="661" applyNumberFormat="1" applyFont="1" applyFill="1"/>
    <xf numFmtId="164" fontId="72" fillId="55" borderId="0" xfId="0" applyNumberFormat="1" applyFont="1" applyFill="1" applyAlignment="1">
      <alignment vertical="center"/>
    </xf>
    <xf numFmtId="0" fontId="72" fillId="55" borderId="0" xfId="0" applyFont="1" applyFill="1"/>
    <xf numFmtId="164" fontId="70" fillId="55" borderId="0" xfId="0" applyNumberFormat="1" applyFont="1" applyFill="1"/>
    <xf numFmtId="0" fontId="70" fillId="55" borderId="0" xfId="0" applyFont="1" applyFill="1"/>
    <xf numFmtId="177" fontId="70" fillId="0" borderId="28" xfId="0" applyNumberFormat="1" applyFont="1" applyBorder="1"/>
    <xf numFmtId="164" fontId="70" fillId="0" borderId="28" xfId="0" applyNumberFormat="1" applyFont="1" applyBorder="1"/>
    <xf numFmtId="177" fontId="70" fillId="0" borderId="0" xfId="0" applyNumberFormat="1" applyFont="1"/>
    <xf numFmtId="0" fontId="68" fillId="0" borderId="0" xfId="0" applyFont="1"/>
    <xf numFmtId="3" fontId="3" fillId="0" borderId="2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177" fontId="12" fillId="3" borderId="0" xfId="0" applyNumberFormat="1" applyFont="1" applyFill="1"/>
    <xf numFmtId="1" fontId="15" fillId="0" borderId="0" xfId="0" applyNumberFormat="1" applyFont="1"/>
    <xf numFmtId="0" fontId="107" fillId="3" borderId="0" xfId="0" applyFont="1" applyFill="1"/>
    <xf numFmtId="0" fontId="70" fillId="0" borderId="0" xfId="661" applyFont="1" applyAlignment="1">
      <alignment vertical="top"/>
    </xf>
    <xf numFmtId="0" fontId="70" fillId="0" borderId="28" xfId="661" applyFont="1" applyBorder="1"/>
    <xf numFmtId="0" fontId="70" fillId="0" borderId="28" xfId="661" applyFont="1" applyBorder="1" applyAlignment="1">
      <alignment vertical="top"/>
    </xf>
    <xf numFmtId="164" fontId="2" fillId="0" borderId="28" xfId="0" applyNumberFormat="1" applyFont="1" applyBorder="1"/>
    <xf numFmtId="0" fontId="3" fillId="2" borderId="0" xfId="0" applyFont="1" applyFill="1" applyAlignment="1">
      <alignment horizontal="left" vertical="center" wrapText="1" indent="1"/>
    </xf>
    <xf numFmtId="0" fontId="72" fillId="2" borderId="0" xfId="0" applyFont="1" applyFill="1" applyAlignment="1">
      <alignment horizontal="right" vertical="center" wrapText="1"/>
    </xf>
    <xf numFmtId="0" fontId="3" fillId="0" borderId="32" xfId="0" applyFont="1" applyBorder="1" applyAlignment="1">
      <alignment horizontal="left" vertical="center" wrapText="1" indent="1"/>
    </xf>
    <xf numFmtId="169" fontId="3" fillId="0" borderId="32" xfId="0" applyNumberFormat="1" applyFont="1" applyBorder="1" applyAlignment="1">
      <alignment horizontal="right" vertical="center" wrapText="1"/>
    </xf>
    <xf numFmtId="0" fontId="3" fillId="0" borderId="49" xfId="0" applyFont="1" applyBorder="1" applyAlignment="1">
      <alignment horizontal="left" vertical="center" wrapText="1" indent="1"/>
    </xf>
    <xf numFmtId="169" fontId="3" fillId="0" borderId="49" xfId="0" applyNumberFormat="1" applyFont="1" applyBorder="1" applyAlignment="1">
      <alignment horizontal="right" vertical="center" wrapText="1"/>
    </xf>
    <xf numFmtId="0" fontId="3" fillId="0" borderId="50" xfId="0" applyFont="1" applyBorder="1" applyAlignment="1">
      <alignment horizontal="left" vertical="center" wrapText="1" indent="1"/>
    </xf>
    <xf numFmtId="169" fontId="3" fillId="0" borderId="50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left" wrapText="1" readingOrder="1"/>
    </xf>
    <xf numFmtId="166" fontId="12" fillId="3" borderId="0" xfId="0" applyNumberFormat="1" applyFont="1" applyFill="1" applyAlignment="1">
      <alignment horizontal="right"/>
    </xf>
    <xf numFmtId="174" fontId="2" fillId="0" borderId="0" xfId="0" applyNumberFormat="1" applyFont="1"/>
    <xf numFmtId="0" fontId="27" fillId="0" borderId="0" xfId="0" applyFont="1" applyAlignment="1">
      <alignment horizontal="left" wrapText="1" readingOrder="1"/>
    </xf>
    <xf numFmtId="3" fontId="27" fillId="0" borderId="0" xfId="0" applyNumberFormat="1" applyFont="1" applyAlignment="1">
      <alignment horizontal="right" wrapText="1" readingOrder="1"/>
    </xf>
    <xf numFmtId="3" fontId="2" fillId="0" borderId="0" xfId="0" applyNumberFormat="1" applyFont="1"/>
    <xf numFmtId="166" fontId="27" fillId="0" borderId="0" xfId="0" applyNumberFormat="1" applyFont="1" applyAlignment="1">
      <alignment horizontal="right" wrapText="1" readingOrder="1"/>
    </xf>
    <xf numFmtId="0" fontId="5" fillId="3" borderId="0" xfId="0" applyFont="1" applyFill="1" applyAlignment="1">
      <alignment horizontal="right" vertical="center" wrapText="1"/>
    </xf>
    <xf numFmtId="0" fontId="3" fillId="0" borderId="27" xfId="0" applyFont="1" applyBorder="1" applyAlignment="1">
      <alignment vertical="center"/>
    </xf>
    <xf numFmtId="169" fontId="3" fillId="0" borderId="27" xfId="0" applyNumberFormat="1" applyFont="1" applyBorder="1" applyAlignment="1">
      <alignment horizontal="right" vertical="center"/>
    </xf>
    <xf numFmtId="0" fontId="3" fillId="0" borderId="39" xfId="0" applyFont="1" applyBorder="1" applyAlignment="1">
      <alignment vertical="center"/>
    </xf>
    <xf numFmtId="169" fontId="3" fillId="0" borderId="39" xfId="0" applyNumberFormat="1" applyFont="1" applyBorder="1" applyAlignment="1">
      <alignment horizontal="right" vertical="center"/>
    </xf>
    <xf numFmtId="0" fontId="5" fillId="3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right" vertical="center" wrapText="1"/>
    </xf>
    <xf numFmtId="0" fontId="8" fillId="0" borderId="49" xfId="0" applyFont="1" applyBorder="1" applyAlignment="1">
      <alignment vertical="center" wrapText="1"/>
    </xf>
    <xf numFmtId="169" fontId="8" fillId="0" borderId="32" xfId="0" applyNumberFormat="1" applyFont="1" applyBorder="1" applyAlignment="1">
      <alignment horizontal="right" vertical="center"/>
    </xf>
    <xf numFmtId="169" fontId="8" fillId="0" borderId="49" xfId="0" applyNumberFormat="1" applyFont="1" applyBorder="1" applyAlignment="1">
      <alignment horizontal="right" vertical="center"/>
    </xf>
    <xf numFmtId="0" fontId="8" fillId="0" borderId="32" xfId="0" applyFont="1" applyBorder="1" applyAlignment="1">
      <alignment vertical="center" wrapText="1"/>
    </xf>
    <xf numFmtId="169" fontId="8" fillId="2" borderId="0" xfId="0" applyNumberFormat="1" applyFont="1" applyFill="1" applyAlignment="1">
      <alignment horizontal="right" vertical="center" wrapText="1"/>
    </xf>
    <xf numFmtId="0" fontId="8" fillId="0" borderId="50" xfId="0" applyFont="1" applyBorder="1" applyAlignment="1">
      <alignment vertical="center" wrapText="1"/>
    </xf>
    <xf numFmtId="169" fontId="8" fillId="2" borderId="50" xfId="0" applyNumberFormat="1" applyFont="1" applyFill="1" applyBorder="1" applyAlignment="1">
      <alignment horizontal="right" vertical="center" wrapText="1"/>
    </xf>
    <xf numFmtId="169" fontId="8" fillId="0" borderId="50" xfId="0" applyNumberFormat="1" applyFont="1" applyBorder="1" applyAlignment="1">
      <alignment horizontal="right" vertical="center"/>
    </xf>
    <xf numFmtId="169" fontId="5" fillId="2" borderId="0" xfId="0" applyNumberFormat="1" applyFont="1" applyFill="1" applyAlignment="1">
      <alignment vertical="center" wrapText="1"/>
    </xf>
    <xf numFmtId="0" fontId="4" fillId="0" borderId="0" xfId="0" applyFont="1" applyAlignment="1">
      <alignment wrapText="1"/>
    </xf>
    <xf numFmtId="172" fontId="43" fillId="0" borderId="0" xfId="352" applyNumberFormat="1" applyFont="1"/>
    <xf numFmtId="0" fontId="4" fillId="0" borderId="0" xfId="0" applyFont="1"/>
    <xf numFmtId="3" fontId="17" fillId="0" borderId="0" xfId="352" applyNumberFormat="1" applyFont="1" applyAlignment="1">
      <alignment horizontal="left" wrapText="1" indent="1"/>
    </xf>
    <xf numFmtId="0" fontId="118" fillId="0" borderId="0" xfId="0" applyFont="1"/>
    <xf numFmtId="166" fontId="2" fillId="3" borderId="0" xfId="0" applyNumberFormat="1" applyFont="1" applyFill="1"/>
    <xf numFmtId="169" fontId="1" fillId="0" borderId="0" xfId="0" applyNumberFormat="1" applyFont="1" applyAlignment="1">
      <alignment horizontal="left" vertical="center"/>
    </xf>
    <xf numFmtId="3" fontId="4" fillId="0" borderId="0" xfId="0" applyNumberFormat="1" applyFont="1" applyAlignment="1">
      <alignment horizontal="left" vertical="center" wrapText="1"/>
    </xf>
    <xf numFmtId="172" fontId="4" fillId="3" borderId="0" xfId="0" applyNumberFormat="1" applyFont="1" applyFill="1" applyAlignment="1">
      <alignment horizontal="right" vertical="center" wrapText="1"/>
    </xf>
    <xf numFmtId="169" fontId="7" fillId="0" borderId="0" xfId="0" applyNumberFormat="1" applyFont="1" applyAlignment="1">
      <alignment horizontal="left" vertical="center"/>
    </xf>
    <xf numFmtId="169" fontId="14" fillId="0" borderId="0" xfId="0" applyNumberFormat="1" applyFont="1" applyAlignment="1">
      <alignment horizontal="left" vertical="center"/>
    </xf>
    <xf numFmtId="3" fontId="4" fillId="0" borderId="3" xfId="0" applyNumberFormat="1" applyFont="1" applyBorder="1" applyAlignment="1">
      <alignment horizontal="left" vertical="center" wrapText="1"/>
    </xf>
    <xf numFmtId="0" fontId="119" fillId="5" borderId="0" xfId="0" applyFont="1" applyFill="1" applyAlignment="1">
      <alignment horizontal="left" vertical="top"/>
    </xf>
    <xf numFmtId="1" fontId="30" fillId="0" borderId="0" xfId="0" applyNumberFormat="1" applyFont="1" applyAlignment="1">
      <alignment vertical="top" wrapText="1"/>
    </xf>
    <xf numFmtId="0" fontId="3" fillId="0" borderId="0" xfId="0" applyFont="1" applyAlignment="1">
      <alignment horizontal="left" vertical="center"/>
    </xf>
    <xf numFmtId="1" fontId="3" fillId="0" borderId="1" xfId="0" applyNumberFormat="1" applyFont="1" applyBorder="1" applyAlignment="1">
      <alignment horizontal="right" vertical="center" wrapText="1" indent="2"/>
    </xf>
    <xf numFmtId="0" fontId="4" fillId="0" borderId="3" xfId="0" applyFont="1" applyBorder="1" applyAlignment="1">
      <alignment horizontal="left" vertical="center" wrapText="1" indent="2"/>
    </xf>
    <xf numFmtId="0" fontId="111" fillId="0" borderId="0" xfId="0" applyFont="1" applyAlignment="1">
      <alignment vertical="center"/>
    </xf>
    <xf numFmtId="0" fontId="111" fillId="0" borderId="0" xfId="0" applyFont="1" applyAlignment="1">
      <alignment horizontal="left" vertical="center"/>
    </xf>
    <xf numFmtId="1" fontId="4" fillId="0" borderId="1" xfId="0" applyNumberFormat="1" applyFont="1" applyBorder="1" applyAlignment="1">
      <alignment horizontal="right" vertical="center" wrapText="1" indent="2"/>
    </xf>
    <xf numFmtId="0" fontId="120" fillId="61" borderId="51" xfId="0" applyFont="1" applyFill="1" applyBorder="1" applyAlignment="1">
      <alignment horizontal="center"/>
    </xf>
    <xf numFmtId="177" fontId="3" fillId="2" borderId="1" xfId="0" applyNumberFormat="1" applyFont="1" applyFill="1" applyBorder="1" applyAlignment="1">
      <alignment vertical="center" wrapText="1"/>
    </xf>
    <xf numFmtId="177" fontId="4" fillId="2" borderId="1" xfId="0" applyNumberFormat="1" applyFont="1" applyFill="1" applyBorder="1" applyAlignment="1">
      <alignment vertical="center" wrapText="1"/>
    </xf>
    <xf numFmtId="177" fontId="3" fillId="2" borderId="3" xfId="0" applyNumberFormat="1" applyFont="1" applyFill="1" applyBorder="1" applyAlignment="1">
      <alignment vertical="center" wrapText="1"/>
    </xf>
    <xf numFmtId="0" fontId="4" fillId="2" borderId="0" xfId="0" applyFont="1" applyFill="1" applyAlignment="1">
      <alignment horizontal="left" vertical="center"/>
    </xf>
    <xf numFmtId="177" fontId="5" fillId="2" borderId="0" xfId="0" applyNumberFormat="1" applyFont="1" applyFill="1" applyAlignment="1">
      <alignment vertical="center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169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70" fillId="0" borderId="29" xfId="661" applyFont="1" applyBorder="1" applyAlignment="1">
      <alignment horizontal="left" vertical="top" wrapText="1"/>
    </xf>
    <xf numFmtId="0" fontId="1" fillId="4" borderId="0" xfId="0" applyFont="1" applyFill="1" applyAlignment="1">
      <alignment vertical="center"/>
    </xf>
    <xf numFmtId="0" fontId="0" fillId="4" borderId="0" xfId="0" applyFill="1"/>
    <xf numFmtId="174" fontId="12" fillId="4" borderId="0" xfId="0" applyNumberFormat="1" applyFont="1" applyFill="1" applyAlignment="1">
      <alignment horizontal="right" vertical="center" wrapText="1"/>
    </xf>
    <xf numFmtId="169" fontId="2" fillId="4" borderId="0" xfId="0" applyNumberFormat="1" applyFont="1" applyFill="1" applyAlignment="1">
      <alignment horizontal="left" vertical="center" wrapText="1"/>
    </xf>
    <xf numFmtId="172" fontId="12" fillId="4" borderId="0" xfId="0" applyNumberFormat="1" applyFont="1" applyFill="1" applyAlignment="1">
      <alignment horizontal="right" vertical="center" wrapText="1"/>
    </xf>
    <xf numFmtId="169" fontId="12" fillId="4" borderId="18" xfId="0" applyNumberFormat="1" applyFont="1" applyFill="1" applyBorder="1" applyAlignment="1">
      <alignment horizontal="right" vertical="center" wrapText="1"/>
    </xf>
    <xf numFmtId="169" fontId="2" fillId="4" borderId="18" xfId="0" applyNumberFormat="1" applyFont="1" applyFill="1" applyBorder="1" applyAlignment="1">
      <alignment horizontal="left" vertical="center" wrapText="1"/>
    </xf>
    <xf numFmtId="169" fontId="2" fillId="4" borderId="0" xfId="0" applyNumberFormat="1" applyFont="1" applyFill="1" applyAlignment="1">
      <alignment horizontal="right" vertical="center" wrapText="1"/>
    </xf>
    <xf numFmtId="169" fontId="12" fillId="4" borderId="0" xfId="0" applyNumberFormat="1" applyFont="1" applyFill="1" applyAlignment="1">
      <alignment horizontal="right" vertical="center" wrapText="1"/>
    </xf>
    <xf numFmtId="169" fontId="2" fillId="4" borderId="18" xfId="0" applyNumberFormat="1" applyFont="1" applyFill="1" applyBorder="1" applyAlignment="1">
      <alignment horizontal="right" vertical="center" wrapText="1"/>
    </xf>
    <xf numFmtId="0" fontId="2" fillId="4" borderId="0" xfId="0" applyFont="1" applyFill="1" applyAlignment="1">
      <alignment vertical="center" wrapText="1"/>
    </xf>
    <xf numFmtId="169" fontId="3" fillId="4" borderId="0" xfId="0" applyNumberFormat="1" applyFont="1" applyFill="1" applyAlignment="1">
      <alignment horizontal="left" vertical="center" wrapText="1"/>
    </xf>
    <xf numFmtId="169" fontId="2" fillId="4" borderId="0" xfId="0" applyNumberFormat="1" applyFont="1" applyFill="1" applyAlignment="1">
      <alignment horizontal="center" vertical="center" wrapText="1"/>
    </xf>
    <xf numFmtId="169" fontId="17" fillId="4" borderId="0" xfId="2" applyNumberFormat="1" applyFont="1" applyFill="1" applyBorder="1" applyAlignment="1">
      <alignment horizontal="left" vertical="center"/>
    </xf>
    <xf numFmtId="0" fontId="76" fillId="4" borderId="0" xfId="0" applyFont="1" applyFill="1" applyAlignment="1">
      <alignment horizontal="center"/>
    </xf>
    <xf numFmtId="0" fontId="76" fillId="4" borderId="0" xfId="0" applyFont="1" applyFill="1"/>
    <xf numFmtId="0" fontId="1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left" vertical="center" wrapText="1" indent="1"/>
    </xf>
    <xf numFmtId="169" fontId="3" fillId="4" borderId="1" xfId="0" applyNumberFormat="1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horizontal="left" vertical="center" wrapText="1" indent="1"/>
    </xf>
    <xf numFmtId="0" fontId="79" fillId="4" borderId="0" xfId="2" applyFont="1" applyFill="1"/>
    <xf numFmtId="0" fontId="0" fillId="4" borderId="0" xfId="0" applyFill="1" applyAlignment="1">
      <alignment horizontal="right" vertical="center"/>
    </xf>
    <xf numFmtId="0" fontId="4" fillId="4" borderId="0" xfId="0" applyFont="1" applyFill="1" applyAlignment="1">
      <alignment horizontal="right" vertical="center" wrapText="1"/>
    </xf>
    <xf numFmtId="169" fontId="3" fillId="4" borderId="0" xfId="0" applyNumberFormat="1" applyFont="1" applyFill="1" applyAlignment="1">
      <alignment horizontal="right" vertical="center" wrapText="1"/>
    </xf>
    <xf numFmtId="0" fontId="3" fillId="4" borderId="3" xfId="0" applyFont="1" applyFill="1" applyBorder="1" applyAlignment="1">
      <alignment horizontal="left" vertical="center" wrapText="1" indent="1"/>
    </xf>
    <xf numFmtId="169" fontId="3" fillId="4" borderId="3" xfId="0" applyNumberFormat="1" applyFont="1" applyFill="1" applyBorder="1" applyAlignment="1">
      <alignment horizontal="right" vertical="center" wrapText="1"/>
    </xf>
    <xf numFmtId="0" fontId="20" fillId="4" borderId="0" xfId="2" applyFont="1" applyFill="1"/>
    <xf numFmtId="1" fontId="3" fillId="4" borderId="1" xfId="0" applyNumberFormat="1" applyFont="1" applyFill="1" applyBorder="1" applyAlignment="1">
      <alignment horizontal="right" vertical="center" wrapText="1" indent="1"/>
    </xf>
    <xf numFmtId="0" fontId="1" fillId="4" borderId="0" xfId="0" applyFont="1" applyFill="1"/>
    <xf numFmtId="0" fontId="27" fillId="4" borderId="0" xfId="0" applyFont="1" applyFill="1" applyAlignment="1">
      <alignment vertical="center"/>
    </xf>
    <xf numFmtId="0" fontId="3" fillId="4" borderId="1" xfId="0" applyFont="1" applyFill="1" applyBorder="1" applyAlignment="1">
      <alignment vertical="center"/>
    </xf>
    <xf numFmtId="177" fontId="3" fillId="4" borderId="1" xfId="0" applyNumberFormat="1" applyFont="1" applyFill="1" applyBorder="1" applyAlignment="1">
      <alignment horizontal="right" vertical="center"/>
    </xf>
    <xf numFmtId="169" fontId="3" fillId="4" borderId="1" xfId="0" applyNumberFormat="1" applyFont="1" applyFill="1" applyBorder="1" applyAlignment="1">
      <alignment horizontal="right" vertical="center"/>
    </xf>
    <xf numFmtId="177" fontId="3" fillId="4" borderId="2" xfId="0" applyNumberFormat="1" applyFont="1" applyFill="1" applyBorder="1" applyAlignment="1">
      <alignment horizontal="right" vertical="center"/>
    </xf>
    <xf numFmtId="0" fontId="3" fillId="4" borderId="3" xfId="0" applyFont="1" applyFill="1" applyBorder="1" applyAlignment="1">
      <alignment vertical="center"/>
    </xf>
    <xf numFmtId="177" fontId="3" fillId="4" borderId="3" xfId="0" applyNumberFormat="1" applyFont="1" applyFill="1" applyBorder="1" applyAlignment="1">
      <alignment horizontal="right" vertical="center"/>
    </xf>
    <xf numFmtId="169" fontId="3" fillId="4" borderId="3" xfId="0" applyNumberFormat="1" applyFont="1" applyFill="1" applyBorder="1" applyAlignment="1">
      <alignment horizontal="right" vertical="center"/>
    </xf>
    <xf numFmtId="177" fontId="0" fillId="4" borderId="0" xfId="0" applyNumberFormat="1" applyFill="1"/>
    <xf numFmtId="0" fontId="3" fillId="4" borderId="2" xfId="0" applyFont="1" applyFill="1" applyBorder="1" applyAlignment="1">
      <alignment vertical="center"/>
    </xf>
    <xf numFmtId="0" fontId="79" fillId="4" borderId="0" xfId="2" applyFont="1" applyFill="1" applyBorder="1" applyAlignment="1">
      <alignment vertical="center"/>
    </xf>
    <xf numFmtId="0" fontId="3" fillId="4" borderId="0" xfId="0" applyFont="1" applyFill="1" applyAlignment="1">
      <alignment vertical="center"/>
    </xf>
    <xf numFmtId="169" fontId="0" fillId="4" borderId="0" xfId="0" applyNumberFormat="1" applyFill="1"/>
    <xf numFmtId="0" fontId="4" fillId="2" borderId="2" xfId="0" applyFont="1" applyFill="1" applyBorder="1" applyAlignment="1">
      <alignment horizontal="left" vertical="center" wrapText="1" indent="1"/>
    </xf>
    <xf numFmtId="1" fontId="3" fillId="2" borderId="1" xfId="0" applyNumberFormat="1" applyFont="1" applyFill="1" applyBorder="1" applyAlignment="1">
      <alignment horizontal="right" vertical="center" wrapText="1" indent="1"/>
    </xf>
    <xf numFmtId="177" fontId="3" fillId="2" borderId="1" xfId="0" applyNumberFormat="1" applyFont="1" applyFill="1" applyBorder="1" applyAlignment="1">
      <alignment horizontal="right" vertical="center"/>
    </xf>
    <xf numFmtId="177" fontId="3" fillId="2" borderId="3" xfId="0" applyNumberFormat="1" applyFont="1" applyFill="1" applyBorder="1" applyAlignment="1">
      <alignment horizontal="right" vertical="center"/>
    </xf>
    <xf numFmtId="0" fontId="12" fillId="4" borderId="0" xfId="0" applyFont="1" applyFill="1"/>
    <xf numFmtId="0" fontId="3" fillId="4" borderId="1" xfId="0" applyFont="1" applyFill="1" applyBorder="1" applyAlignment="1">
      <alignment vertical="center" wrapText="1"/>
    </xf>
    <xf numFmtId="177" fontId="3" fillId="4" borderId="1" xfId="0" applyNumberFormat="1" applyFont="1" applyFill="1" applyBorder="1" applyAlignment="1">
      <alignment vertical="center" wrapText="1"/>
    </xf>
    <xf numFmtId="177" fontId="3" fillId="4" borderId="1" xfId="0" applyNumberFormat="1" applyFont="1" applyFill="1" applyBorder="1" applyAlignment="1">
      <alignment horizontal="right" vertical="center" wrapText="1"/>
    </xf>
    <xf numFmtId="0" fontId="111" fillId="4" borderId="0" xfId="0" applyFont="1" applyFill="1" applyAlignment="1">
      <alignment vertical="center" wrapText="1"/>
    </xf>
    <xf numFmtId="177" fontId="4" fillId="4" borderId="0" xfId="0" applyNumberFormat="1" applyFont="1" applyFill="1" applyAlignment="1">
      <alignment horizontal="right" vertical="center" wrapText="1"/>
    </xf>
    <xf numFmtId="3" fontId="0" fillId="4" borderId="0" xfId="0" applyNumberFormat="1" applyFill="1"/>
    <xf numFmtId="0" fontId="13" fillId="4" borderId="0" xfId="0" applyFont="1" applyFill="1"/>
    <xf numFmtId="177" fontId="3" fillId="4" borderId="3" xfId="0" applyNumberFormat="1" applyFont="1" applyFill="1" applyBorder="1" applyAlignment="1">
      <alignment vertical="center" wrapText="1"/>
    </xf>
    <xf numFmtId="0" fontId="79" fillId="4" borderId="0" xfId="2" applyFont="1" applyFill="1" applyBorder="1" applyAlignment="1">
      <alignment horizontal="left" vertical="center" indent="1"/>
    </xf>
    <xf numFmtId="3" fontId="3" fillId="4" borderId="1" xfId="0" applyNumberFormat="1" applyFont="1" applyFill="1" applyBorder="1" applyAlignment="1">
      <alignment vertical="center" wrapText="1"/>
    </xf>
    <xf numFmtId="177" fontId="3" fillId="4" borderId="3" xfId="0" applyNumberFormat="1" applyFont="1" applyFill="1" applyBorder="1" applyAlignment="1">
      <alignment horizontal="right" vertical="center" wrapText="1"/>
    </xf>
    <xf numFmtId="0" fontId="10" fillId="4" borderId="0" xfId="0" applyFont="1" applyFill="1" applyAlignment="1">
      <alignment vertical="center"/>
    </xf>
    <xf numFmtId="3" fontId="4" fillId="4" borderId="0" xfId="0" applyNumberFormat="1" applyFont="1" applyFill="1" applyAlignment="1">
      <alignment horizontal="left" vertical="center" wrapText="1" indent="1"/>
    </xf>
    <xf numFmtId="3" fontId="4" fillId="4" borderId="0" xfId="0" applyNumberFormat="1" applyFont="1" applyFill="1" applyAlignment="1">
      <alignment horizontal="right" vertical="center" wrapText="1"/>
    </xf>
    <xf numFmtId="177" fontId="10" fillId="4" borderId="0" xfId="0" applyNumberFormat="1" applyFont="1" applyFill="1" applyAlignment="1">
      <alignment vertical="center"/>
    </xf>
    <xf numFmtId="0" fontId="104" fillId="4" borderId="0" xfId="0" applyFont="1" applyFill="1"/>
    <xf numFmtId="0" fontId="2" fillId="4" borderId="0" xfId="0" applyFont="1" applyFill="1"/>
    <xf numFmtId="169" fontId="3" fillId="4" borderId="0" xfId="0" applyNumberFormat="1" applyFont="1" applyFill="1" applyAlignment="1">
      <alignment horizontal="right" vertical="center"/>
    </xf>
    <xf numFmtId="169" fontId="3" fillId="4" borderId="2" xfId="0" applyNumberFormat="1" applyFont="1" applyFill="1" applyBorder="1" applyAlignment="1">
      <alignment horizontal="right" vertical="center" wrapText="1"/>
    </xf>
    <xf numFmtId="0" fontId="20" fillId="4" borderId="0" xfId="2" applyFont="1" applyFill="1" applyBorder="1"/>
    <xf numFmtId="0" fontId="14" fillId="4" borderId="0" xfId="0" applyFont="1" applyFill="1"/>
    <xf numFmtId="0" fontId="70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4" fillId="2" borderId="1" xfId="0" applyFont="1" applyFill="1" applyBorder="1" applyAlignment="1">
      <alignment vertical="center" wrapText="1"/>
    </xf>
    <xf numFmtId="177" fontId="2" fillId="4" borderId="0" xfId="0" applyNumberFormat="1" applyFont="1" applyFill="1"/>
    <xf numFmtId="0" fontId="12" fillId="0" borderId="0" xfId="0" applyFont="1" applyAlignment="1">
      <alignment horizontal="right"/>
    </xf>
    <xf numFmtId="1" fontId="3" fillId="2" borderId="0" xfId="0" applyNumberFormat="1" applyFont="1" applyFill="1" applyAlignment="1">
      <alignment vertical="center" wrapText="1"/>
    </xf>
    <xf numFmtId="1" fontId="117" fillId="0" borderId="0" xfId="0" applyNumberFormat="1" applyFont="1"/>
    <xf numFmtId="1" fontId="3" fillId="0" borderId="49" xfId="0" applyNumberFormat="1" applyFont="1" applyBorder="1" applyAlignment="1">
      <alignment horizontal="right" vertical="center" wrapText="1"/>
    </xf>
    <xf numFmtId="169" fontId="117" fillId="0" borderId="0" xfId="0" applyNumberFormat="1" applyFont="1"/>
    <xf numFmtId="0" fontId="30" fillId="0" borderId="0" xfId="0" applyFont="1" applyAlignment="1">
      <alignment vertical="top"/>
    </xf>
    <xf numFmtId="0" fontId="20" fillId="0" borderId="0" xfId="2" applyFont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1" fontId="3" fillId="0" borderId="3" xfId="0" applyNumberFormat="1" applyFont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169" fontId="8" fillId="2" borderId="1" xfId="0" applyNumberFormat="1" applyFont="1" applyFill="1" applyBorder="1" applyAlignment="1">
      <alignment horizontal="right" vertical="center"/>
    </xf>
    <xf numFmtId="169" fontId="3" fillId="0" borderId="22" xfId="0" applyNumberFormat="1" applyFont="1" applyBorder="1" applyAlignment="1">
      <alignment horizontal="right" vertical="center"/>
    </xf>
    <xf numFmtId="169" fontId="8" fillId="2" borderId="0" xfId="0" applyNumberFormat="1" applyFont="1" applyFill="1" applyAlignment="1">
      <alignment horizontal="right" vertical="center"/>
    </xf>
    <xf numFmtId="169" fontId="20" fillId="0" borderId="0" xfId="2" applyNumberFormat="1" applyFont="1" applyAlignment="1">
      <alignment vertical="center"/>
    </xf>
    <xf numFmtId="169" fontId="3" fillId="0" borderId="48" xfId="0" applyNumberFormat="1" applyFont="1" applyBorder="1" applyAlignment="1">
      <alignment horizontal="right" vertical="center"/>
    </xf>
    <xf numFmtId="169" fontId="5" fillId="0" borderId="0" xfId="0" applyNumberFormat="1" applyFont="1" applyAlignment="1">
      <alignment horizontal="right" vertical="center"/>
    </xf>
    <xf numFmtId="169" fontId="5" fillId="0" borderId="0" xfId="0" applyNumberFormat="1" applyFont="1" applyAlignment="1">
      <alignment vertical="center"/>
    </xf>
    <xf numFmtId="169" fontId="4" fillId="2" borderId="0" xfId="0" applyNumberFormat="1" applyFont="1" applyFill="1" applyAlignment="1">
      <alignment vertical="center"/>
    </xf>
    <xf numFmtId="1" fontId="3" fillId="0" borderId="1" xfId="0" applyNumberFormat="1" applyFont="1" applyBorder="1" applyAlignment="1">
      <alignment horizontal="right" vertical="center"/>
    </xf>
    <xf numFmtId="1" fontId="3" fillId="0" borderId="2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169" fontId="8" fillId="0" borderId="0" xfId="0" applyNumberFormat="1" applyFont="1" applyAlignment="1">
      <alignment vertical="center" wrapText="1"/>
    </xf>
    <xf numFmtId="0" fontId="2" fillId="0" borderId="21" xfId="0" applyFont="1" applyBorder="1" applyAlignment="1">
      <alignment horizontal="left" wrapText="1"/>
    </xf>
    <xf numFmtId="0" fontId="2" fillId="0" borderId="20" xfId="0" applyFont="1" applyBorder="1" applyAlignment="1">
      <alignment horizontal="left" wrapText="1"/>
    </xf>
    <xf numFmtId="1" fontId="2" fillId="0" borderId="20" xfId="0" applyNumberFormat="1" applyFont="1" applyBorder="1" applyAlignment="1">
      <alignment horizontal="right" vertical="center" wrapText="1"/>
    </xf>
    <xf numFmtId="1" fontId="4" fillId="0" borderId="0" xfId="0" applyNumberFormat="1" applyFont="1" applyAlignment="1">
      <alignment horizontal="right" vertical="center" wrapText="1"/>
    </xf>
    <xf numFmtId="0" fontId="12" fillId="0" borderId="0" xfId="0" applyFont="1" applyAlignment="1">
      <alignment horizontal="right" wrapText="1"/>
    </xf>
    <xf numFmtId="169" fontId="2" fillId="0" borderId="0" xfId="0" applyNumberFormat="1" applyFont="1" applyAlignment="1">
      <alignment horizontal="right"/>
    </xf>
    <xf numFmtId="169" fontId="4" fillId="0" borderId="0" xfId="0" applyNumberFormat="1" applyFont="1" applyAlignment="1">
      <alignment vertical="center" wrapText="1"/>
    </xf>
    <xf numFmtId="169" fontId="17" fillId="0" borderId="0" xfId="0" applyNumberFormat="1" applyFont="1" applyAlignment="1">
      <alignment horizontal="right" vertical="center" wrapText="1"/>
    </xf>
    <xf numFmtId="169" fontId="4" fillId="4" borderId="1" xfId="0" applyNumberFormat="1" applyFont="1" applyFill="1" applyBorder="1" applyAlignment="1">
      <alignment horizontal="right" vertical="center" wrapText="1"/>
    </xf>
    <xf numFmtId="166" fontId="12" fillId="0" borderId="0" xfId="0" applyNumberFormat="1" applyFont="1" applyAlignment="1">
      <alignment vertical="center" wrapText="1"/>
    </xf>
    <xf numFmtId="166" fontId="12" fillId="0" borderId="0" xfId="0" applyNumberFormat="1" applyFont="1" applyAlignment="1">
      <alignment horizontal="right" vertical="center" wrapText="1"/>
    </xf>
    <xf numFmtId="0" fontId="15" fillId="0" borderId="0" xfId="356"/>
    <xf numFmtId="0" fontId="4" fillId="0" borderId="0" xfId="0" applyFont="1" applyAlignment="1">
      <alignment horizontal="right" vertical="center" wrapText="1" indent="1"/>
    </xf>
    <xf numFmtId="181" fontId="121" fillId="0" borderId="0" xfId="665" applyNumberFormat="1" applyFont="1" applyAlignment="1">
      <alignment horizontal="right"/>
    </xf>
    <xf numFmtId="49" fontId="33" fillId="0" borderId="0" xfId="0" applyNumberFormat="1" applyFont="1" applyAlignment="1">
      <alignment horizontal="right" vertical="center" wrapText="1"/>
    </xf>
    <xf numFmtId="49" fontId="0" fillId="0" borderId="0" xfId="0" applyNumberFormat="1"/>
    <xf numFmtId="0" fontId="5" fillId="0" borderId="0" xfId="0" applyFont="1" applyAlignment="1">
      <alignment vertical="center" wrapText="1"/>
    </xf>
    <xf numFmtId="1" fontId="4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4" fillId="3" borderId="0" xfId="0" applyFont="1" applyFill="1" applyAlignment="1">
      <alignment horizontal="center"/>
    </xf>
    <xf numFmtId="0" fontId="3" fillId="0" borderId="27" xfId="0" applyFont="1" applyBorder="1" applyAlignment="1">
      <alignment horizontal="left" wrapText="1"/>
    </xf>
    <xf numFmtId="0" fontId="3" fillId="0" borderId="21" xfId="0" applyFont="1" applyBorder="1" applyAlignment="1">
      <alignment horizontal="left"/>
    </xf>
    <xf numFmtId="0" fontId="17" fillId="0" borderId="1" xfId="0" applyFont="1" applyBorder="1" applyAlignment="1">
      <alignment horizontal="left" vertical="center" wrapText="1" indent="1"/>
    </xf>
    <xf numFmtId="1" fontId="123" fillId="0" borderId="0" xfId="0" applyNumberFormat="1" applyFont="1"/>
    <xf numFmtId="0" fontId="124" fillId="0" borderId="0" xfId="0" applyFont="1"/>
    <xf numFmtId="0" fontId="123" fillId="0" borderId="0" xfId="0" applyFont="1"/>
    <xf numFmtId="0" fontId="4" fillId="2" borderId="0" xfId="0" applyFont="1" applyFill="1"/>
    <xf numFmtId="169" fontId="4" fillId="2" borderId="0" xfId="0" applyNumberFormat="1" applyFont="1" applyFill="1"/>
    <xf numFmtId="169" fontId="3" fillId="2" borderId="0" xfId="0" applyNumberFormat="1" applyFont="1" applyFill="1"/>
    <xf numFmtId="169" fontId="4" fillId="2" borderId="0" xfId="0" applyNumberFormat="1" applyFont="1" applyFill="1" applyAlignment="1">
      <alignment horizontal="right"/>
    </xf>
    <xf numFmtId="169" fontId="3" fillId="2" borderId="0" xfId="0" applyNumberFormat="1" applyFont="1" applyFill="1" applyAlignment="1">
      <alignment horizontal="right"/>
    </xf>
    <xf numFmtId="169" fontId="14" fillId="2" borderId="0" xfId="0" applyNumberFormat="1" applyFont="1" applyFill="1"/>
    <xf numFmtId="0" fontId="3" fillId="2" borderId="0" xfId="0" applyFont="1" applyFill="1"/>
    <xf numFmtId="0" fontId="3" fillId="0" borderId="20" xfId="0" applyFont="1" applyBorder="1"/>
    <xf numFmtId="0" fontId="3" fillId="0" borderId="21" xfId="0" applyFont="1" applyBorder="1"/>
    <xf numFmtId="0" fontId="3" fillId="0" borderId="27" xfId="0" applyFont="1" applyBorder="1"/>
    <xf numFmtId="1" fontId="4" fillId="2" borderId="0" xfId="0" applyNumberFormat="1" applyFont="1" applyFill="1"/>
    <xf numFmtId="169" fontId="4" fillId="0" borderId="27" xfId="0" applyNumberFormat="1" applyFont="1" applyBorder="1" applyAlignment="1">
      <alignment horizontal="right" wrapText="1"/>
    </xf>
    <xf numFmtId="0" fontId="4" fillId="0" borderId="0" xfId="0" applyFont="1" applyAlignment="1">
      <alignment horizontal="right"/>
    </xf>
    <xf numFmtId="170" fontId="3" fillId="0" borderId="38" xfId="0" applyNumberFormat="1" applyFont="1" applyBorder="1" applyAlignment="1">
      <alignment wrapText="1"/>
    </xf>
    <xf numFmtId="170" fontId="3" fillId="0" borderId="20" xfId="0" applyNumberFormat="1" applyFont="1" applyBorder="1" applyAlignment="1">
      <alignment wrapText="1"/>
    </xf>
    <xf numFmtId="169" fontId="4" fillId="3" borderId="27" xfId="0" applyNumberFormat="1" applyFont="1" applyFill="1" applyBorder="1"/>
    <xf numFmtId="1" fontId="3" fillId="0" borderId="21" xfId="0" applyNumberFormat="1" applyFont="1" applyBorder="1" applyAlignment="1">
      <alignment vertical="center" wrapText="1"/>
    </xf>
    <xf numFmtId="169" fontId="3" fillId="0" borderId="40" xfId="0" applyNumberFormat="1" applyFont="1" applyBorder="1" applyAlignment="1">
      <alignment horizontal="right" vertical="center" wrapText="1"/>
    </xf>
    <xf numFmtId="0" fontId="2" fillId="0" borderId="37" xfId="0" applyFont="1" applyBorder="1" applyAlignment="1">
      <alignment horizontal="right"/>
    </xf>
    <xf numFmtId="0" fontId="4" fillId="3" borderId="0" xfId="0" applyFont="1" applyFill="1"/>
    <xf numFmtId="169" fontId="4" fillId="56" borderId="0" xfId="0" applyNumberFormat="1" applyFont="1" applyFill="1" applyAlignment="1">
      <alignment vertical="center" wrapText="1"/>
    </xf>
    <xf numFmtId="0" fontId="2" fillId="4" borderId="52" xfId="0" applyFont="1" applyFill="1" applyBorder="1"/>
    <xf numFmtId="177" fontId="2" fillId="0" borderId="53" xfId="0" applyNumberFormat="1" applyFont="1" applyBorder="1"/>
    <xf numFmtId="0" fontId="0" fillId="0" borderId="54" xfId="0" applyBorder="1"/>
    <xf numFmtId="0" fontId="2" fillId="4" borderId="55" xfId="0" applyFont="1" applyFill="1" applyBorder="1"/>
    <xf numFmtId="177" fontId="2" fillId="0" borderId="56" xfId="0" applyNumberFormat="1" applyFont="1" applyBorder="1"/>
    <xf numFmtId="0" fontId="111" fillId="0" borderId="57" xfId="0" applyFont="1" applyBorder="1"/>
    <xf numFmtId="172" fontId="4" fillId="0" borderId="0" xfId="0" applyNumberFormat="1" applyFont="1" applyAlignment="1">
      <alignment horizontal="center" vertical="center" wrapText="1"/>
    </xf>
    <xf numFmtId="172" fontId="3" fillId="0" borderId="0" xfId="0" applyNumberFormat="1" applyFont="1" applyAlignment="1">
      <alignment horizontal="center" vertical="center" wrapText="1"/>
    </xf>
    <xf numFmtId="166" fontId="12" fillId="0" borderId="0" xfId="0" applyNumberFormat="1" applyFont="1" applyAlignment="1">
      <alignment horizontal="right"/>
    </xf>
    <xf numFmtId="0" fontId="20" fillId="0" borderId="0" xfId="2" applyFont="1" applyFill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1" fontId="2" fillId="0" borderId="1" xfId="0" applyNumberFormat="1" applyFont="1" applyBorder="1" applyAlignment="1">
      <alignment horizontal="right" vertical="center" wrapText="1"/>
    </xf>
    <xf numFmtId="1" fontId="2" fillId="2" borderId="1" xfId="0" applyNumberFormat="1" applyFont="1" applyFill="1" applyBorder="1" applyAlignment="1">
      <alignment horizontal="right" vertical="center" wrapText="1"/>
    </xf>
    <xf numFmtId="169" fontId="72" fillId="0" borderId="0" xfId="0" applyNumberFormat="1" applyFont="1" applyAlignment="1">
      <alignment vertical="center" wrapText="1"/>
    </xf>
    <xf numFmtId="169" fontId="3" fillId="2" borderId="1" xfId="0" applyNumberFormat="1" applyFont="1" applyFill="1" applyBorder="1" applyAlignment="1">
      <alignment vertical="center"/>
    </xf>
    <xf numFmtId="169" fontId="2" fillId="0" borderId="31" xfId="0" applyNumberFormat="1" applyFont="1" applyBorder="1" applyAlignment="1">
      <alignment horizontal="right"/>
    </xf>
    <xf numFmtId="0" fontId="2" fillId="0" borderId="31" xfId="0" applyFont="1" applyBorder="1" applyAlignment="1">
      <alignment horizontal="left"/>
    </xf>
    <xf numFmtId="1" fontId="2" fillId="0" borderId="31" xfId="0" applyNumberFormat="1" applyFont="1" applyBorder="1" applyAlignment="1">
      <alignment horizontal="right"/>
    </xf>
    <xf numFmtId="0" fontId="2" fillId="0" borderId="31" xfId="0" applyFont="1" applyBorder="1" applyAlignment="1">
      <alignment horizontal="right"/>
    </xf>
    <xf numFmtId="0" fontId="12" fillId="2" borderId="0" xfId="0" applyFont="1" applyFill="1" applyAlignment="1">
      <alignment horizontal="left" wrapText="1"/>
    </xf>
    <xf numFmtId="0" fontId="12" fillId="2" borderId="0" xfId="0" applyFont="1" applyFill="1" applyAlignment="1">
      <alignment horizontal="center" wrapText="1"/>
    </xf>
    <xf numFmtId="177" fontId="2" fillId="0" borderId="32" xfId="0" applyNumberFormat="1" applyFont="1" applyBorder="1" applyAlignment="1">
      <alignment horizontal="right" vertical="center" wrapText="1"/>
    </xf>
    <xf numFmtId="177" fontId="2" fillId="0" borderId="0" xfId="0" applyNumberFormat="1" applyFont="1" applyAlignment="1">
      <alignment horizontal="right" vertical="center" wrapText="1"/>
    </xf>
    <xf numFmtId="177" fontId="12" fillId="2" borderId="0" xfId="0" applyNumberFormat="1" applyFont="1" applyFill="1" applyAlignment="1">
      <alignment horizontal="right" vertical="center" wrapText="1"/>
    </xf>
    <xf numFmtId="0" fontId="20" fillId="0" borderId="0" xfId="2" applyFont="1" applyFill="1" applyBorder="1" applyAlignment="1"/>
    <xf numFmtId="177" fontId="2" fillId="2" borderId="0" xfId="0" applyNumberFormat="1" applyFont="1" applyFill="1"/>
    <xf numFmtId="177" fontId="2" fillId="2" borderId="20" xfId="0" applyNumberFormat="1" applyFont="1" applyFill="1" applyBorder="1"/>
    <xf numFmtId="177" fontId="2" fillId="2" borderId="21" xfId="0" applyNumberFormat="1" applyFont="1" applyFill="1" applyBorder="1"/>
    <xf numFmtId="0" fontId="65" fillId="0" borderId="0" xfId="0" applyFont="1"/>
    <xf numFmtId="0" fontId="126" fillId="0" borderId="0" xfId="2" applyFont="1" applyFill="1"/>
    <xf numFmtId="0" fontId="1" fillId="0" borderId="0" xfId="6" applyFont="1"/>
    <xf numFmtId="0" fontId="104" fillId="0" borderId="0" xfId="6" applyFont="1"/>
    <xf numFmtId="0" fontId="20" fillId="0" borderId="0" xfId="2" applyFont="1" applyFill="1" applyAlignment="1">
      <alignment horizontal="left" vertical="center"/>
    </xf>
    <xf numFmtId="0" fontId="3" fillId="0" borderId="1" xfId="0" applyFont="1" applyBorder="1" applyAlignment="1">
      <alignment horizontal="right" vertical="center" wrapText="1" indent="1"/>
    </xf>
    <xf numFmtId="0" fontId="4" fillId="4" borderId="0" xfId="0" applyFont="1" applyFill="1" applyAlignment="1">
      <alignment vertical="center" wrapText="1"/>
    </xf>
    <xf numFmtId="0" fontId="1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7" fillId="0" borderId="0" xfId="0" applyFont="1" applyAlignment="1">
      <alignment horizontal="right"/>
    </xf>
    <xf numFmtId="1" fontId="17" fillId="0" borderId="0" xfId="35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20" fillId="0" borderId="0" xfId="2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79" fillId="0" borderId="0" xfId="2" applyFont="1" applyAlignment="1">
      <alignment horizontal="right"/>
    </xf>
    <xf numFmtId="0" fontId="132" fillId="0" borderId="0" xfId="0" applyFont="1" applyAlignment="1">
      <alignment vertical="center"/>
    </xf>
    <xf numFmtId="0" fontId="133" fillId="0" borderId="0" xfId="0" applyFont="1"/>
    <xf numFmtId="0" fontId="134" fillId="0" borderId="0" xfId="0" applyFont="1" applyAlignment="1">
      <alignment vertical="center"/>
    </xf>
    <xf numFmtId="0" fontId="135" fillId="2" borderId="0" xfId="0" applyFont="1" applyFill="1" applyAlignment="1">
      <alignment horizontal="right" vertical="center" wrapText="1"/>
    </xf>
    <xf numFmtId="0" fontId="13" fillId="0" borderId="0" xfId="0" applyFont="1" applyAlignment="1">
      <alignment horizontal="right"/>
    </xf>
    <xf numFmtId="0" fontId="20" fillId="0" borderId="0" xfId="2" applyFont="1" applyFill="1" applyBorder="1" applyAlignment="1">
      <alignment horizontal="right" vertical="center"/>
    </xf>
    <xf numFmtId="172" fontId="136" fillId="0" borderId="1" xfId="0" applyNumberFormat="1" applyFont="1" applyBorder="1" applyAlignment="1">
      <alignment horizontal="right" vertical="center" wrapText="1"/>
    </xf>
    <xf numFmtId="0" fontId="133" fillId="0" borderId="0" xfId="0" applyFont="1" applyAlignment="1">
      <alignment horizontal="right"/>
    </xf>
    <xf numFmtId="0" fontId="135" fillId="2" borderId="0" xfId="0" applyFont="1" applyFill="1" applyAlignment="1">
      <alignment horizontal="left" vertical="center" wrapText="1" indent="1"/>
    </xf>
    <xf numFmtId="0" fontId="136" fillId="0" borderId="1" xfId="0" applyFont="1" applyBorder="1" applyAlignment="1">
      <alignment vertical="center" wrapText="1"/>
    </xf>
    <xf numFmtId="172" fontId="136" fillId="2" borderId="1" xfId="0" applyNumberFormat="1" applyFont="1" applyFill="1" applyBorder="1" applyAlignment="1">
      <alignment horizontal="right" vertical="center" wrapText="1"/>
    </xf>
    <xf numFmtId="0" fontId="17" fillId="0" borderId="0" xfId="0" applyFont="1" applyAlignment="1">
      <alignment horizontal="left"/>
    </xf>
    <xf numFmtId="0" fontId="4" fillId="3" borderId="2" xfId="0" applyFont="1" applyFill="1" applyBorder="1" applyAlignment="1">
      <alignment horizontal="right" vertical="center" wrapText="1"/>
    </xf>
    <xf numFmtId="0" fontId="127" fillId="0" borderId="0" xfId="0" applyFont="1"/>
    <xf numFmtId="0" fontId="128" fillId="0" borderId="0" xfId="0" applyFont="1"/>
    <xf numFmtId="183" fontId="0" fillId="0" borderId="0" xfId="0" applyNumberFormat="1"/>
    <xf numFmtId="0" fontId="3" fillId="0" borderId="24" xfId="0" applyFont="1" applyBorder="1" applyAlignment="1">
      <alignment horizontal="right" vertical="center" wrapText="1"/>
    </xf>
    <xf numFmtId="169" fontId="3" fillId="0" borderId="22" xfId="0" applyNumberFormat="1" applyFont="1" applyBorder="1" applyAlignment="1">
      <alignment vertical="center" wrapText="1"/>
    </xf>
    <xf numFmtId="169" fontId="3" fillId="0" borderId="23" xfId="0" applyNumberFormat="1" applyFont="1" applyBorder="1" applyAlignment="1">
      <alignment vertical="center" wrapText="1"/>
    </xf>
    <xf numFmtId="169" fontId="3" fillId="0" borderId="24" xfId="0" applyNumberFormat="1" applyFont="1" applyBorder="1" applyAlignment="1">
      <alignment vertical="center" wrapText="1"/>
    </xf>
    <xf numFmtId="169" fontId="17" fillId="0" borderId="3" xfId="0" applyNumberFormat="1" applyFont="1" applyBorder="1" applyAlignment="1">
      <alignment horizontal="right" vertical="center" wrapText="1"/>
    </xf>
    <xf numFmtId="177" fontId="3" fillId="0" borderId="3" xfId="0" applyNumberFormat="1" applyFont="1" applyBorder="1" applyAlignment="1">
      <alignment horizontal="right" vertical="center"/>
    </xf>
    <xf numFmtId="166" fontId="1" fillId="0" borderId="0" xfId="0" applyNumberFormat="1" applyFont="1" applyAlignment="1">
      <alignment vertical="center"/>
    </xf>
    <xf numFmtId="166" fontId="12" fillId="4" borderId="20" xfId="0" applyNumberFormat="1" applyFont="1" applyFill="1" applyBorder="1" applyAlignment="1">
      <alignment horizontal="right" vertical="center" wrapText="1"/>
    </xf>
    <xf numFmtId="166" fontId="2" fillId="4" borderId="21" xfId="0" applyNumberFormat="1" applyFont="1" applyFill="1" applyBorder="1" applyAlignment="1">
      <alignment horizontal="right" vertical="center" wrapText="1"/>
    </xf>
    <xf numFmtId="166" fontId="2" fillId="4" borderId="20" xfId="0" applyNumberFormat="1" applyFont="1" applyFill="1" applyBorder="1" applyAlignment="1">
      <alignment horizontal="right" vertical="center" wrapText="1"/>
    </xf>
    <xf numFmtId="166" fontId="2" fillId="4" borderId="0" xfId="0" applyNumberFormat="1" applyFont="1" applyFill="1" applyAlignment="1">
      <alignment horizontal="right" vertical="center" wrapText="1"/>
    </xf>
    <xf numFmtId="166" fontId="12" fillId="4" borderId="0" xfId="0" applyNumberFormat="1" applyFont="1" applyFill="1" applyAlignment="1">
      <alignment horizontal="right" vertical="center" wrapText="1"/>
    </xf>
    <xf numFmtId="169" fontId="12" fillId="0" borderId="21" xfId="0" applyNumberFormat="1" applyFont="1" applyBorder="1" applyAlignment="1">
      <alignment horizontal="right" vertical="center" wrapText="1"/>
    </xf>
    <xf numFmtId="166" fontId="12" fillId="0" borderId="21" xfId="0" applyNumberFormat="1" applyFont="1" applyBorder="1" applyAlignment="1">
      <alignment horizontal="right" vertical="center" wrapText="1"/>
    </xf>
    <xf numFmtId="177" fontId="12" fillId="0" borderId="0" xfId="0" applyNumberFormat="1" applyFont="1"/>
    <xf numFmtId="177" fontId="12" fillId="0" borderId="32" xfId="0" applyNumberFormat="1" applyFont="1" applyBorder="1" applyAlignment="1">
      <alignment horizontal="right" vertical="center" wrapText="1"/>
    </xf>
    <xf numFmtId="177" fontId="12" fillId="3" borderId="49" xfId="0" applyNumberFormat="1" applyFont="1" applyFill="1" applyBorder="1" applyAlignment="1">
      <alignment horizontal="right" vertical="center" wrapText="1"/>
    </xf>
    <xf numFmtId="0" fontId="107" fillId="59" borderId="0" xfId="0" applyFont="1" applyFill="1" applyAlignment="1">
      <alignment vertical="center" wrapText="1"/>
    </xf>
    <xf numFmtId="169" fontId="70" fillId="0" borderId="1" xfId="0" applyNumberFormat="1" applyFont="1" applyBorder="1" applyAlignment="1">
      <alignment vertical="center" wrapText="1"/>
    </xf>
    <xf numFmtId="169" fontId="70" fillId="0" borderId="0" xfId="0" applyNumberFormat="1" applyFont="1" applyAlignment="1">
      <alignment vertical="center" wrapText="1"/>
    </xf>
    <xf numFmtId="1" fontId="5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169" fontId="3" fillId="0" borderId="23" xfId="0" applyNumberFormat="1" applyFont="1" applyBorder="1" applyAlignment="1">
      <alignment vertical="center"/>
    </xf>
    <xf numFmtId="0" fontId="4" fillId="0" borderId="22" xfId="0" applyFont="1" applyBorder="1" applyAlignment="1">
      <alignment horizontal="left" vertical="center" wrapText="1" indent="1"/>
    </xf>
    <xf numFmtId="169" fontId="4" fillId="0" borderId="22" xfId="0" applyNumberFormat="1" applyFont="1" applyBorder="1" applyAlignment="1">
      <alignment horizontal="right" vertical="center" wrapText="1"/>
    </xf>
    <xf numFmtId="1" fontId="3" fillId="0" borderId="32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wrapText="1"/>
    </xf>
    <xf numFmtId="172" fontId="4" fillId="0" borderId="2" xfId="0" applyNumberFormat="1" applyFont="1" applyBorder="1" applyAlignment="1">
      <alignment horizontal="right" vertical="center" wrapText="1"/>
    </xf>
    <xf numFmtId="0" fontId="3" fillId="2" borderId="2" xfId="0" applyFont="1" applyFill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15" fillId="0" borderId="0" xfId="0" applyFont="1" applyAlignment="1">
      <alignment horizontal="left" vertical="top"/>
    </xf>
    <xf numFmtId="1" fontId="17" fillId="0" borderId="1" xfId="0" applyNumberFormat="1" applyFont="1" applyBorder="1" applyAlignment="1">
      <alignment horizontal="right" vertical="center" wrapText="1"/>
    </xf>
    <xf numFmtId="1" fontId="17" fillId="0" borderId="3" xfId="0" applyNumberFormat="1" applyFont="1" applyBorder="1" applyAlignment="1">
      <alignment horizontal="right" vertical="center" wrapText="1"/>
    </xf>
    <xf numFmtId="1" fontId="3" fillId="0" borderId="24" xfId="0" applyNumberFormat="1" applyFont="1" applyBorder="1" applyAlignment="1">
      <alignment vertical="center" wrapText="1"/>
    </xf>
    <xf numFmtId="1" fontId="3" fillId="0" borderId="22" xfId="0" applyNumberFormat="1" applyFont="1" applyBorder="1" applyAlignment="1">
      <alignment vertical="center" wrapText="1"/>
    </xf>
    <xf numFmtId="1" fontId="3" fillId="0" borderId="23" xfId="0" applyNumberFormat="1" applyFont="1" applyBorder="1" applyAlignment="1">
      <alignment vertical="center" wrapText="1"/>
    </xf>
    <xf numFmtId="0" fontId="4" fillId="3" borderId="3" xfId="0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left" vertical="center" indent="1"/>
    </xf>
    <xf numFmtId="1" fontId="3" fillId="0" borderId="0" xfId="0" applyNumberFormat="1" applyFont="1" applyAlignment="1">
      <alignment horizontal="right" vertical="center"/>
    </xf>
    <xf numFmtId="0" fontId="4" fillId="4" borderId="0" xfId="0" applyFont="1" applyFill="1" applyAlignment="1">
      <alignment horizontal="right" vertical="center"/>
    </xf>
    <xf numFmtId="169" fontId="4" fillId="4" borderId="0" xfId="0" applyNumberFormat="1" applyFont="1" applyFill="1" applyAlignment="1">
      <alignment horizontal="right" vertical="center"/>
    </xf>
    <xf numFmtId="177" fontId="4" fillId="4" borderId="0" xfId="0" applyNumberFormat="1" applyFont="1" applyFill="1" applyAlignment="1">
      <alignment horizontal="right" vertical="center"/>
    </xf>
    <xf numFmtId="0" fontId="4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169" fontId="7" fillId="0" borderId="0" xfId="0" applyNumberFormat="1" applyFont="1"/>
    <xf numFmtId="172" fontId="3" fillId="0" borderId="3" xfId="0" applyNumberFormat="1" applyFont="1" applyBorder="1" applyAlignment="1">
      <alignment horizontal="right" vertical="center"/>
    </xf>
    <xf numFmtId="172" fontId="3" fillId="0" borderId="2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 wrapText="1"/>
    </xf>
    <xf numFmtId="0" fontId="137" fillId="0" borderId="0" xfId="0" applyFont="1" applyAlignment="1">
      <alignment vertical="center"/>
    </xf>
    <xf numFmtId="0" fontId="4" fillId="2" borderId="21" xfId="0" applyFont="1" applyFill="1" applyBorder="1" applyAlignment="1">
      <alignment vertical="center" wrapText="1"/>
    </xf>
    <xf numFmtId="0" fontId="0" fillId="2" borderId="0" xfId="0" applyFill="1"/>
    <xf numFmtId="0" fontId="0" fillId="2" borderId="0" xfId="0" applyFill="1" applyAlignment="1">
      <alignment vertical="center" wrapText="1"/>
    </xf>
    <xf numFmtId="1" fontId="8" fillId="0" borderId="0" xfId="0" applyNumberFormat="1" applyFont="1" applyAlignment="1">
      <alignment horizontal="right" vertical="center"/>
    </xf>
    <xf numFmtId="0" fontId="135" fillId="0" borderId="0" xfId="0" applyFont="1" applyAlignment="1">
      <alignment vertical="center" wrapText="1"/>
    </xf>
    <xf numFmtId="0" fontId="136" fillId="0" borderId="0" xfId="0" applyFont="1" applyAlignment="1">
      <alignment horizontal="right" vertical="center" wrapText="1"/>
    </xf>
    <xf numFmtId="1" fontId="136" fillId="0" borderId="0" xfId="0" applyNumberFormat="1" applyFont="1" applyAlignment="1">
      <alignment horizontal="right" vertical="center" wrapText="1"/>
    </xf>
    <xf numFmtId="0" fontId="79" fillId="0" borderId="0" xfId="2" applyFont="1" applyFill="1" applyBorder="1"/>
    <xf numFmtId="0" fontId="136" fillId="0" borderId="0" xfId="0" applyFont="1" applyAlignment="1">
      <alignment vertical="center" wrapText="1"/>
    </xf>
    <xf numFmtId="169" fontId="139" fillId="0" borderId="0" xfId="0" applyNumberFormat="1" applyFont="1" applyAlignment="1">
      <alignment horizontal="right" vertical="center" wrapText="1"/>
    </xf>
    <xf numFmtId="169" fontId="141" fillId="0" borderId="20" xfId="0" applyNumberFormat="1" applyFont="1" applyBorder="1" applyAlignment="1">
      <alignment horizontal="right" vertical="center" wrapText="1"/>
    </xf>
    <xf numFmtId="169" fontId="142" fillId="0" borderId="20" xfId="0" applyNumberFormat="1" applyFont="1" applyBorder="1" applyAlignment="1">
      <alignment horizontal="right" vertical="center" wrapText="1"/>
    </xf>
    <xf numFmtId="169" fontId="141" fillId="0" borderId="21" xfId="0" applyNumberFormat="1" applyFont="1" applyBorder="1" applyAlignment="1">
      <alignment horizontal="right" vertical="center" wrapText="1"/>
    </xf>
    <xf numFmtId="0" fontId="129" fillId="0" borderId="0" xfId="0" applyFont="1" applyAlignment="1">
      <alignment vertical="center"/>
    </xf>
    <xf numFmtId="172" fontId="4" fillId="2" borderId="21" xfId="0" applyNumberFormat="1" applyFont="1" applyFill="1" applyBorder="1" applyAlignment="1">
      <alignment vertical="center" wrapText="1"/>
    </xf>
    <xf numFmtId="172" fontId="4" fillId="2" borderId="24" xfId="0" applyNumberFormat="1" applyFont="1" applyFill="1" applyBorder="1" applyAlignment="1">
      <alignment vertical="center" wrapText="1"/>
    </xf>
    <xf numFmtId="172" fontId="4" fillId="2" borderId="20" xfId="0" applyNumberFormat="1" applyFont="1" applyFill="1" applyBorder="1" applyAlignment="1">
      <alignment vertical="center" wrapText="1"/>
    </xf>
    <xf numFmtId="184" fontId="3" fillId="0" borderId="1" xfId="0" applyNumberFormat="1" applyFont="1" applyBorder="1" applyAlignment="1">
      <alignment vertical="center" wrapText="1"/>
    </xf>
    <xf numFmtId="166" fontId="3" fillId="2" borderId="1" xfId="658" applyNumberFormat="1" applyFont="1" applyFill="1" applyBorder="1" applyAlignment="1">
      <alignment vertical="center" wrapText="1"/>
    </xf>
    <xf numFmtId="166" fontId="3" fillId="2" borderId="1" xfId="0" applyNumberFormat="1" applyFont="1" applyFill="1" applyBorder="1" applyAlignment="1">
      <alignment vertical="center" wrapText="1"/>
    </xf>
    <xf numFmtId="184" fontId="3" fillId="2" borderId="1" xfId="0" applyNumberFormat="1" applyFont="1" applyFill="1" applyBorder="1" applyAlignment="1">
      <alignment vertical="center" wrapText="1"/>
    </xf>
    <xf numFmtId="184" fontId="4" fillId="2" borderId="1" xfId="0" applyNumberFormat="1" applyFont="1" applyFill="1" applyBorder="1" applyAlignment="1">
      <alignment vertical="center" wrapText="1"/>
    </xf>
    <xf numFmtId="184" fontId="3" fillId="2" borderId="1" xfId="0" applyNumberFormat="1" applyFont="1" applyFill="1" applyBorder="1" applyAlignment="1">
      <alignment horizontal="right" vertical="center" wrapText="1"/>
    </xf>
    <xf numFmtId="172" fontId="4" fillId="0" borderId="20" xfId="0" applyNumberFormat="1" applyFont="1" applyBorder="1" applyAlignment="1">
      <alignment vertical="center" wrapText="1"/>
    </xf>
    <xf numFmtId="172" fontId="3" fillId="2" borderId="22" xfId="0" applyNumberFormat="1" applyFont="1" applyFill="1" applyBorder="1" applyAlignment="1">
      <alignment vertical="center" wrapText="1"/>
    </xf>
    <xf numFmtId="172" fontId="3" fillId="2" borderId="20" xfId="0" applyNumberFormat="1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84" fontId="3" fillId="2" borderId="1" xfId="0" applyNumberFormat="1" applyFont="1" applyFill="1" applyBorder="1" applyAlignment="1">
      <alignment vertical="center"/>
    </xf>
    <xf numFmtId="184" fontId="3" fillId="2" borderId="2" xfId="0" applyNumberFormat="1" applyFont="1" applyFill="1" applyBorder="1" applyAlignment="1">
      <alignment vertical="center"/>
    </xf>
    <xf numFmtId="184" fontId="3" fillId="2" borderId="3" xfId="0" applyNumberFormat="1" applyFont="1" applyFill="1" applyBorder="1" applyAlignment="1">
      <alignment vertical="center"/>
    </xf>
    <xf numFmtId="184" fontId="3" fillId="2" borderId="3" xfId="0" applyNumberFormat="1" applyFont="1" applyFill="1" applyBorder="1" applyAlignment="1">
      <alignment horizontal="right" vertical="center"/>
    </xf>
    <xf numFmtId="184" fontId="3" fillId="2" borderId="20" xfId="0" applyNumberFormat="1" applyFont="1" applyFill="1" applyBorder="1" applyAlignment="1">
      <alignment vertical="center"/>
    </xf>
    <xf numFmtId="184" fontId="3" fillId="2" borderId="21" xfId="0" applyNumberFormat="1" applyFont="1" applyFill="1" applyBorder="1" applyAlignment="1">
      <alignment horizontal="right" vertical="center"/>
    </xf>
    <xf numFmtId="184" fontId="3" fillId="2" borderId="21" xfId="0" applyNumberFormat="1" applyFont="1" applyFill="1" applyBorder="1" applyAlignment="1">
      <alignment vertical="center"/>
    </xf>
    <xf numFmtId="184" fontId="3" fillId="2" borderId="0" xfId="0" applyNumberFormat="1" applyFont="1" applyFill="1" applyAlignment="1">
      <alignment vertical="center"/>
    </xf>
    <xf numFmtId="184" fontId="3" fillId="2" borderId="23" xfId="0" applyNumberFormat="1" applyFont="1" applyFill="1" applyBorder="1" applyAlignment="1">
      <alignment vertical="center"/>
    </xf>
    <xf numFmtId="184" fontId="3" fillId="2" borderId="24" xfId="0" applyNumberFormat="1" applyFont="1" applyFill="1" applyBorder="1" applyAlignment="1">
      <alignment vertical="center" wrapText="1"/>
    </xf>
    <xf numFmtId="184" fontId="3" fillId="2" borderId="25" xfId="0" applyNumberFormat="1" applyFont="1" applyFill="1" applyBorder="1" applyAlignment="1">
      <alignment vertical="center"/>
    </xf>
    <xf numFmtId="172" fontId="3" fillId="2" borderId="24" xfId="0" applyNumberFormat="1" applyFont="1" applyFill="1" applyBorder="1" applyAlignment="1">
      <alignment vertical="center" wrapText="1"/>
    </xf>
    <xf numFmtId="172" fontId="4" fillId="0" borderId="21" xfId="0" applyNumberFormat="1" applyFont="1" applyBorder="1" applyAlignment="1">
      <alignment vertical="center" wrapText="1"/>
    </xf>
    <xf numFmtId="184" fontId="3" fillId="2" borderId="0" xfId="0" applyNumberFormat="1" applyFont="1" applyFill="1" applyAlignment="1">
      <alignment vertical="center" wrapText="1"/>
    </xf>
    <xf numFmtId="184" fontId="4" fillId="56" borderId="0" xfId="0" applyNumberFormat="1" applyFont="1" applyFill="1" applyAlignment="1">
      <alignment vertical="center" wrapText="1"/>
    </xf>
    <xf numFmtId="184" fontId="17" fillId="0" borderId="1" xfId="0" applyNumberFormat="1" applyFont="1" applyBorder="1" applyAlignment="1">
      <alignment horizontal="right" vertical="center" wrapText="1"/>
    </xf>
    <xf numFmtId="184" fontId="3" fillId="2" borderId="3" xfId="0" applyNumberFormat="1" applyFont="1" applyFill="1" applyBorder="1" applyAlignment="1">
      <alignment vertical="center" wrapText="1"/>
    </xf>
    <xf numFmtId="184" fontId="17" fillId="0" borderId="3" xfId="0" applyNumberFormat="1" applyFont="1" applyBorder="1" applyAlignment="1">
      <alignment horizontal="right" vertical="center" wrapText="1"/>
    </xf>
    <xf numFmtId="184" fontId="3" fillId="0" borderId="1" xfId="0" applyNumberFormat="1" applyFont="1" applyBorder="1" applyAlignment="1">
      <alignment horizontal="right" vertical="center" wrapText="1"/>
    </xf>
    <xf numFmtId="184" fontId="3" fillId="0" borderId="0" xfId="0" applyNumberFormat="1" applyFont="1" applyAlignment="1">
      <alignment horizontal="right" vertical="center" wrapText="1"/>
    </xf>
    <xf numFmtId="184" fontId="4" fillId="56" borderId="0" xfId="0" applyNumberFormat="1" applyFont="1" applyFill="1" applyAlignment="1">
      <alignment horizontal="right" vertical="center" wrapText="1"/>
    </xf>
    <xf numFmtId="184" fontId="5" fillId="2" borderId="0" xfId="0" applyNumberFormat="1" applyFont="1" applyFill="1" applyAlignment="1">
      <alignment vertical="center" wrapText="1"/>
    </xf>
    <xf numFmtId="184" fontId="5" fillId="2" borderId="0" xfId="0" applyNumberFormat="1" applyFont="1" applyFill="1" applyAlignment="1">
      <alignment vertical="center"/>
    </xf>
    <xf numFmtId="184" fontId="8" fillId="2" borderId="1" xfId="0" applyNumberFormat="1" applyFont="1" applyFill="1" applyBorder="1" applyAlignment="1">
      <alignment vertical="center" wrapText="1"/>
    </xf>
    <xf numFmtId="184" fontId="8" fillId="2" borderId="2" xfId="0" applyNumberFormat="1" applyFont="1" applyFill="1" applyBorder="1" applyAlignment="1">
      <alignment vertical="center" wrapText="1"/>
    </xf>
    <xf numFmtId="184" fontId="3" fillId="2" borderId="0" xfId="0" applyNumberFormat="1" applyFont="1" applyFill="1" applyAlignment="1">
      <alignment horizontal="right" vertical="center" wrapText="1"/>
    </xf>
    <xf numFmtId="169" fontId="3" fillId="0" borderId="21" xfId="0" applyNumberFormat="1" applyFont="1" applyBorder="1" applyAlignment="1">
      <alignment horizontal="right" vertical="center"/>
    </xf>
    <xf numFmtId="0" fontId="4" fillId="2" borderId="0" xfId="0" applyFont="1" applyFill="1" applyAlignment="1">
      <alignment horizontal="right" vertical="top" wrapText="1"/>
    </xf>
    <xf numFmtId="169" fontId="3" fillId="0" borderId="39" xfId="0" applyNumberFormat="1" applyFont="1" applyBorder="1" applyAlignment="1">
      <alignment horizontal="right" vertical="center" wrapText="1"/>
    </xf>
    <xf numFmtId="184" fontId="5" fillId="3" borderId="0" xfId="0" applyNumberFormat="1" applyFont="1" applyFill="1" applyAlignment="1">
      <alignment horizontal="right" vertical="center" wrapText="1"/>
    </xf>
    <xf numFmtId="184" fontId="3" fillId="2" borderId="27" xfId="0" applyNumberFormat="1" applyFont="1" applyFill="1" applyBorder="1" applyAlignment="1">
      <alignment vertical="center"/>
    </xf>
    <xf numFmtId="184" fontId="3" fillId="2" borderId="39" xfId="0" applyNumberFormat="1" applyFont="1" applyFill="1" applyBorder="1" applyAlignment="1">
      <alignment vertical="center"/>
    </xf>
    <xf numFmtId="169" fontId="5" fillId="0" borderId="0" xfId="0" applyNumberFormat="1" applyFont="1" applyAlignment="1">
      <alignment vertical="center" wrapText="1"/>
    </xf>
    <xf numFmtId="0" fontId="5" fillId="2" borderId="0" xfId="0" applyFont="1" applyFill="1" applyAlignment="1">
      <alignment horizontal="right" vertical="top" wrapText="1"/>
    </xf>
    <xf numFmtId="0" fontId="8" fillId="2" borderId="49" xfId="0" applyFont="1" applyFill="1" applyBorder="1" applyAlignment="1">
      <alignment vertical="center" wrapText="1"/>
    </xf>
    <xf numFmtId="0" fontId="8" fillId="2" borderId="32" xfId="0" applyFont="1" applyFill="1" applyBorder="1" applyAlignment="1">
      <alignment vertical="center" wrapText="1"/>
    </xf>
    <xf numFmtId="184" fontId="8" fillId="2" borderId="49" xfId="0" applyNumberFormat="1" applyFont="1" applyFill="1" applyBorder="1" applyAlignment="1">
      <alignment vertical="center" wrapText="1"/>
    </xf>
    <xf numFmtId="184" fontId="8" fillId="2" borderId="32" xfId="0" applyNumberFormat="1" applyFont="1" applyFill="1" applyBorder="1" applyAlignment="1">
      <alignment vertical="center" wrapText="1"/>
    </xf>
    <xf numFmtId="184" fontId="8" fillId="2" borderId="0" xfId="0" applyNumberFormat="1" applyFont="1" applyFill="1" applyAlignment="1">
      <alignment vertical="center" wrapText="1"/>
    </xf>
    <xf numFmtId="169" fontId="8" fillId="0" borderId="32" xfId="0" applyNumberFormat="1" applyFont="1" applyBorder="1" applyAlignment="1">
      <alignment horizontal="right" vertical="center" wrapText="1"/>
    </xf>
    <xf numFmtId="169" fontId="8" fillId="0" borderId="49" xfId="0" applyNumberFormat="1" applyFont="1" applyBorder="1" applyAlignment="1">
      <alignment horizontal="right" vertical="center" wrapText="1"/>
    </xf>
    <xf numFmtId="169" fontId="8" fillId="0" borderId="0" xfId="0" applyNumberFormat="1" applyFont="1" applyAlignment="1">
      <alignment horizontal="right" vertical="center" wrapText="1"/>
    </xf>
    <xf numFmtId="169" fontId="8" fillId="0" borderId="50" xfId="0" applyNumberFormat="1" applyFont="1" applyBorder="1" applyAlignment="1">
      <alignment horizontal="right" vertical="center" wrapText="1"/>
    </xf>
    <xf numFmtId="184" fontId="3" fillId="0" borderId="20" xfId="0" applyNumberFormat="1" applyFont="1" applyBorder="1" applyAlignment="1">
      <alignment vertical="center"/>
    </xf>
    <xf numFmtId="184" fontId="3" fillId="0" borderId="21" xfId="0" applyNumberFormat="1" applyFont="1" applyBorder="1" applyAlignment="1">
      <alignment vertical="center"/>
    </xf>
    <xf numFmtId="184" fontId="3" fillId="0" borderId="27" xfId="0" applyNumberFormat="1" applyFont="1" applyBorder="1" applyAlignment="1">
      <alignment vertical="center"/>
    </xf>
    <xf numFmtId="184" fontId="3" fillId="0" borderId="39" xfId="0" applyNumberFormat="1" applyFont="1" applyBorder="1" applyAlignment="1">
      <alignment vertical="center"/>
    </xf>
    <xf numFmtId="177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2" fillId="3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12" fillId="2" borderId="20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vertical="center" wrapText="1"/>
    </xf>
    <xf numFmtId="184" fontId="17" fillId="2" borderId="1" xfId="0" applyNumberFormat="1" applyFont="1" applyFill="1" applyBorder="1" applyAlignment="1">
      <alignment vertical="center" wrapText="1"/>
    </xf>
    <xf numFmtId="184" fontId="17" fillId="2" borderId="1" xfId="0" applyNumberFormat="1" applyFont="1" applyFill="1" applyBorder="1" applyAlignment="1">
      <alignment horizontal="right" vertical="center" wrapText="1"/>
    </xf>
    <xf numFmtId="184" fontId="4" fillId="2" borderId="0" xfId="0" applyNumberFormat="1" applyFont="1" applyFill="1" applyAlignment="1">
      <alignment horizontal="right" vertical="center" wrapText="1"/>
    </xf>
    <xf numFmtId="184" fontId="4" fillId="0" borderId="1" xfId="0" applyNumberFormat="1" applyFont="1" applyBorder="1" applyAlignment="1">
      <alignment vertical="center" wrapText="1"/>
    </xf>
    <xf numFmtId="184" fontId="12" fillId="2" borderId="20" xfId="0" applyNumberFormat="1" applyFont="1" applyFill="1" applyBorder="1" applyAlignment="1">
      <alignment vertical="center" wrapText="1"/>
    </xf>
    <xf numFmtId="184" fontId="12" fillId="2" borderId="21" xfId="0" applyNumberFormat="1" applyFont="1" applyFill="1" applyBorder="1" applyAlignment="1">
      <alignment vertical="center" wrapText="1"/>
    </xf>
    <xf numFmtId="0" fontId="107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1" fontId="2" fillId="0" borderId="0" xfId="0" applyNumberFormat="1" applyFont="1" applyAlignment="1">
      <alignment vertical="center" wrapText="1"/>
    </xf>
    <xf numFmtId="1" fontId="2" fillId="0" borderId="0" xfId="0" applyNumberFormat="1" applyFont="1" applyAlignment="1">
      <alignment horizontal="right" vertical="center" wrapText="1"/>
    </xf>
    <xf numFmtId="184" fontId="2" fillId="2" borderId="1" xfId="0" applyNumberFormat="1" applyFont="1" applyFill="1" applyBorder="1" applyAlignment="1">
      <alignment vertical="center" wrapText="1"/>
    </xf>
    <xf numFmtId="169" fontId="12" fillId="2" borderId="0" xfId="0" applyNumberFormat="1" applyFont="1" applyFill="1" applyAlignment="1">
      <alignment vertical="center" wrapText="1"/>
    </xf>
    <xf numFmtId="1" fontId="2" fillId="2" borderId="1" xfId="0" applyNumberFormat="1" applyFont="1" applyFill="1" applyBorder="1" applyAlignment="1">
      <alignment vertical="center" wrapText="1"/>
    </xf>
    <xf numFmtId="1" fontId="2" fillId="2" borderId="0" xfId="0" applyNumberFormat="1" applyFont="1" applyFill="1" applyAlignment="1">
      <alignment vertical="center" wrapText="1"/>
    </xf>
    <xf numFmtId="169" fontId="70" fillId="2" borderId="0" xfId="0" applyNumberFormat="1" applyFont="1" applyFill="1"/>
    <xf numFmtId="169" fontId="3" fillId="0" borderId="0" xfId="0" applyNumberFormat="1" applyFont="1" applyAlignment="1">
      <alignment vertical="center"/>
    </xf>
    <xf numFmtId="172" fontId="3" fillId="0" borderId="1" xfId="0" applyNumberFormat="1" applyFont="1" applyBorder="1" applyAlignment="1">
      <alignment vertical="center"/>
    </xf>
    <xf numFmtId="0" fontId="145" fillId="0" borderId="0" xfId="0" applyFont="1"/>
    <xf numFmtId="0" fontId="145" fillId="0" borderId="0" xfId="0" applyFont="1" applyAlignment="1">
      <alignment horizontal="right"/>
    </xf>
    <xf numFmtId="0" fontId="18" fillId="2" borderId="0" xfId="0" applyFont="1" applyFill="1" applyAlignment="1">
      <alignment horizontal="right" vertical="center" wrapText="1"/>
    </xf>
    <xf numFmtId="0" fontId="18" fillId="0" borderId="1" xfId="0" applyFont="1" applyBorder="1" applyAlignment="1">
      <alignment horizontal="left" vertical="center" wrapText="1" indent="1"/>
    </xf>
    <xf numFmtId="169" fontId="17" fillId="0" borderId="1" xfId="0" applyNumberFormat="1" applyFont="1" applyBorder="1" applyAlignment="1">
      <alignment horizontal="right" vertical="center"/>
    </xf>
    <xf numFmtId="172" fontId="17" fillId="0" borderId="1" xfId="0" applyNumberFormat="1" applyFont="1" applyBorder="1" applyAlignment="1">
      <alignment horizontal="right" vertical="center" wrapText="1"/>
    </xf>
    <xf numFmtId="0" fontId="18" fillId="0" borderId="2" xfId="0" applyFont="1" applyBorder="1" applyAlignment="1">
      <alignment horizontal="left" vertical="center" wrapText="1" indent="1"/>
    </xf>
    <xf numFmtId="172" fontId="17" fillId="0" borderId="2" xfId="0" applyNumberFormat="1" applyFont="1" applyBorder="1" applyAlignment="1">
      <alignment horizontal="right" vertical="center"/>
    </xf>
    <xf numFmtId="172" fontId="17" fillId="0" borderId="2" xfId="0" applyNumberFormat="1" applyFont="1" applyBorder="1" applyAlignment="1">
      <alignment horizontal="right" vertical="center" wrapText="1"/>
    </xf>
    <xf numFmtId="1" fontId="17" fillId="0" borderId="2" xfId="0" applyNumberFormat="1" applyFont="1" applyBorder="1" applyAlignment="1">
      <alignment horizontal="right" vertical="center"/>
    </xf>
    <xf numFmtId="0" fontId="18" fillId="0" borderId="0" xfId="0" applyFont="1" applyAlignment="1">
      <alignment horizontal="left" vertical="center" wrapText="1" indent="1"/>
    </xf>
    <xf numFmtId="0" fontId="17" fillId="0" borderId="0" xfId="0" applyFont="1" applyAlignment="1">
      <alignment horizontal="right"/>
    </xf>
    <xf numFmtId="172" fontId="17" fillId="0" borderId="0" xfId="0" applyNumberFormat="1" applyFont="1" applyAlignment="1">
      <alignment horizontal="right" vertical="center" wrapText="1"/>
    </xf>
    <xf numFmtId="0" fontId="113" fillId="0" borderId="0" xfId="0" applyFont="1" applyAlignment="1">
      <alignment horizontal="right" vertical="center"/>
    </xf>
    <xf numFmtId="0" fontId="80" fillId="0" borderId="0" xfId="0" applyFont="1" applyAlignment="1">
      <alignment horizontal="right"/>
    </xf>
    <xf numFmtId="0" fontId="113" fillId="0" borderId="0" xfId="0" applyFont="1" applyAlignment="1">
      <alignment vertical="center"/>
    </xf>
    <xf numFmtId="172" fontId="18" fillId="0" borderId="2" xfId="0" applyNumberFormat="1" applyFont="1" applyBorder="1" applyAlignment="1">
      <alignment horizontal="left" vertical="center" indent="1"/>
    </xf>
    <xf numFmtId="184" fontId="4" fillId="2" borderId="2" xfId="0" applyNumberFormat="1" applyFont="1" applyFill="1" applyBorder="1" applyAlignment="1">
      <alignment vertical="center" wrapText="1"/>
    </xf>
    <xf numFmtId="184" fontId="18" fillId="2" borderId="1" xfId="0" applyNumberFormat="1" applyFont="1" applyFill="1" applyBorder="1" applyAlignment="1">
      <alignment vertical="center" wrapText="1"/>
    </xf>
    <xf numFmtId="184" fontId="18" fillId="2" borderId="2" xfId="0" applyNumberFormat="1" applyFont="1" applyFill="1" applyBorder="1" applyAlignment="1">
      <alignment vertical="center" wrapText="1"/>
    </xf>
    <xf numFmtId="184" fontId="18" fillId="2" borderId="2" xfId="0" applyNumberFormat="1" applyFont="1" applyFill="1" applyBorder="1" applyAlignment="1">
      <alignment vertical="center"/>
    </xf>
    <xf numFmtId="184" fontId="18" fillId="2" borderId="0" xfId="0" applyNumberFormat="1" applyFont="1" applyFill="1" applyAlignment="1">
      <alignment vertical="center" wrapText="1"/>
    </xf>
    <xf numFmtId="184" fontId="4" fillId="2" borderId="0" xfId="0" applyNumberFormat="1" applyFont="1" applyFill="1" applyAlignment="1">
      <alignment vertical="center" wrapText="1"/>
    </xf>
    <xf numFmtId="184" fontId="4" fillId="2" borderId="22" xfId="0" applyNumberFormat="1" applyFont="1" applyFill="1" applyBorder="1" applyAlignment="1">
      <alignment vertical="center" wrapText="1"/>
    </xf>
    <xf numFmtId="184" fontId="3" fillId="2" borderId="2" xfId="0" applyNumberFormat="1" applyFont="1" applyFill="1" applyBorder="1" applyAlignment="1">
      <alignment vertical="center" wrapText="1"/>
    </xf>
    <xf numFmtId="184" fontId="4" fillId="2" borderId="0" xfId="0" applyNumberFormat="1" applyFont="1" applyFill="1" applyAlignment="1">
      <alignment horizontal="left" vertical="center" wrapText="1" indent="1"/>
    </xf>
    <xf numFmtId="169" fontId="4" fillId="2" borderId="1" xfId="0" applyNumberFormat="1" applyFont="1" applyFill="1" applyBorder="1" applyAlignment="1">
      <alignment horizontal="left" vertical="center" wrapText="1"/>
    </xf>
    <xf numFmtId="169" fontId="17" fillId="2" borderId="1" xfId="0" applyNumberFormat="1" applyFont="1" applyFill="1" applyBorder="1" applyAlignment="1">
      <alignment horizontal="right" vertical="center" wrapText="1"/>
    </xf>
    <xf numFmtId="184" fontId="4" fillId="2" borderId="3" xfId="0" applyNumberFormat="1" applyFont="1" applyFill="1" applyBorder="1" applyAlignment="1">
      <alignment vertical="center" wrapText="1"/>
    </xf>
    <xf numFmtId="0" fontId="116" fillId="0" borderId="0" xfId="0" applyFont="1" applyAlignment="1">
      <alignment vertical="center"/>
    </xf>
    <xf numFmtId="184" fontId="3" fillId="0" borderId="2" xfId="0" applyNumberFormat="1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184" fontId="4" fillId="2" borderId="1" xfId="0" applyNumberFormat="1" applyFont="1" applyFill="1" applyBorder="1" applyAlignment="1">
      <alignment horizontal="right" vertical="center" wrapText="1"/>
    </xf>
    <xf numFmtId="0" fontId="94" fillId="0" borderId="0" xfId="2" applyFont="1"/>
    <xf numFmtId="172" fontId="5" fillId="0" borderId="0" xfId="0" applyNumberFormat="1" applyFont="1" applyAlignment="1">
      <alignment horizontal="right" vertical="center" wrapText="1"/>
    </xf>
    <xf numFmtId="1" fontId="4" fillId="2" borderId="1" xfId="0" applyNumberFormat="1" applyFont="1" applyFill="1" applyBorder="1" applyAlignment="1">
      <alignment vertical="center" wrapText="1"/>
    </xf>
    <xf numFmtId="169" fontId="3" fillId="0" borderId="0" xfId="0" applyNumberFormat="1" applyFont="1" applyAlignment="1">
      <alignment horizontal="right" vertical="center" wrapText="1" indent="1"/>
    </xf>
    <xf numFmtId="177" fontId="3" fillId="0" borderId="1" xfId="0" applyNumberFormat="1" applyFont="1" applyBorder="1" applyAlignment="1">
      <alignment vertical="center" wrapText="1"/>
    </xf>
    <xf numFmtId="169" fontId="3" fillId="2" borderId="3" xfId="0" applyNumberFormat="1" applyFont="1" applyFill="1" applyBorder="1" applyAlignment="1">
      <alignment vertical="center" wrapText="1"/>
    </xf>
    <xf numFmtId="184" fontId="2" fillId="2" borderId="0" xfId="0" applyNumberFormat="1" applyFont="1" applyFill="1"/>
    <xf numFmtId="184" fontId="3" fillId="2" borderId="3" xfId="0" applyNumberFormat="1" applyFont="1" applyFill="1" applyBorder="1" applyAlignment="1">
      <alignment horizontal="right" vertical="center" wrapText="1"/>
    </xf>
    <xf numFmtId="0" fontId="8" fillId="2" borderId="50" xfId="0" applyFont="1" applyFill="1" applyBorder="1" applyAlignment="1">
      <alignment horizontal="right" vertical="center" wrapText="1"/>
    </xf>
    <xf numFmtId="0" fontId="1" fillId="60" borderId="0" xfId="0" applyFont="1" applyFill="1" applyAlignment="1">
      <alignment vertical="center"/>
    </xf>
    <xf numFmtId="184" fontId="4" fillId="0" borderId="0" xfId="0" applyNumberFormat="1" applyFont="1" applyAlignment="1">
      <alignment wrapText="1"/>
    </xf>
    <xf numFmtId="184" fontId="3" fillId="0" borderId="3" xfId="0" applyNumberFormat="1" applyFont="1" applyBorder="1" applyAlignment="1">
      <alignment vertical="center" wrapText="1"/>
    </xf>
    <xf numFmtId="184" fontId="3" fillId="0" borderId="0" xfId="0" applyNumberFormat="1" applyFont="1" applyAlignment="1">
      <alignment vertical="center" wrapText="1"/>
    </xf>
    <xf numFmtId="166" fontId="4" fillId="0" borderId="1" xfId="0" applyNumberFormat="1" applyFont="1" applyBorder="1" applyAlignment="1">
      <alignment vertical="center" wrapText="1"/>
    </xf>
    <xf numFmtId="166" fontId="3" fillId="0" borderId="1" xfId="0" applyNumberFormat="1" applyFont="1" applyBorder="1" applyAlignment="1">
      <alignment vertical="center" wrapText="1"/>
    </xf>
    <xf numFmtId="166" fontId="4" fillId="0" borderId="0" xfId="0" applyNumberFormat="1" applyFont="1" applyAlignment="1">
      <alignment vertical="center" wrapText="1"/>
    </xf>
    <xf numFmtId="169" fontId="3" fillId="60" borderId="0" xfId="0" applyNumberFormat="1" applyFont="1" applyFill="1" applyAlignment="1">
      <alignment horizontal="right" vertical="center" wrapText="1"/>
    </xf>
    <xf numFmtId="174" fontId="3" fillId="0" borderId="0" xfId="0" applyNumberFormat="1" applyFont="1" applyAlignment="1">
      <alignment horizontal="right" vertical="center" wrapText="1"/>
    </xf>
    <xf numFmtId="184" fontId="2" fillId="2" borderId="20" xfId="0" applyNumberFormat="1" applyFont="1" applyFill="1" applyBorder="1" applyAlignment="1">
      <alignment horizontal="right" vertical="center" wrapText="1"/>
    </xf>
    <xf numFmtId="184" fontId="2" fillId="2" borderId="21" xfId="0" applyNumberFormat="1" applyFont="1" applyFill="1" applyBorder="1" applyAlignment="1">
      <alignment horizontal="right" vertical="center" wrapText="1"/>
    </xf>
    <xf numFmtId="184" fontId="3" fillId="2" borderId="1" xfId="0" applyNumberFormat="1" applyFont="1" applyFill="1" applyBorder="1" applyAlignment="1">
      <alignment horizontal="right" vertical="center"/>
    </xf>
    <xf numFmtId="184" fontId="3" fillId="2" borderId="2" xfId="0" applyNumberFormat="1" applyFont="1" applyFill="1" applyBorder="1" applyAlignment="1">
      <alignment horizontal="right" vertical="center"/>
    </xf>
    <xf numFmtId="169" fontId="3" fillId="2" borderId="22" xfId="0" applyNumberFormat="1" applyFont="1" applyFill="1" applyBorder="1" applyAlignment="1">
      <alignment vertical="center" wrapText="1"/>
    </xf>
    <xf numFmtId="169" fontId="3" fillId="2" borderId="23" xfId="0" applyNumberFormat="1" applyFont="1" applyFill="1" applyBorder="1" applyAlignment="1">
      <alignment vertical="center" wrapText="1"/>
    </xf>
    <xf numFmtId="169" fontId="3" fillId="2" borderId="24" xfId="0" applyNumberFormat="1" applyFont="1" applyFill="1" applyBorder="1" applyAlignment="1">
      <alignment vertical="center" wrapText="1"/>
    </xf>
    <xf numFmtId="184" fontId="3" fillId="2" borderId="22" xfId="0" applyNumberFormat="1" applyFont="1" applyFill="1" applyBorder="1" applyAlignment="1">
      <alignment vertical="center"/>
    </xf>
    <xf numFmtId="184" fontId="3" fillId="2" borderId="48" xfId="0" applyNumberFormat="1" applyFont="1" applyFill="1" applyBorder="1" applyAlignment="1">
      <alignment vertical="center"/>
    </xf>
    <xf numFmtId="0" fontId="1" fillId="0" borderId="0" xfId="0" applyFont="1" applyAlignment="1">
      <alignment horizontal="left"/>
    </xf>
    <xf numFmtId="184" fontId="3" fillId="2" borderId="22" xfId="0" applyNumberFormat="1" applyFont="1" applyFill="1" applyBorder="1" applyAlignment="1">
      <alignment horizontal="right" vertical="center"/>
    </xf>
    <xf numFmtId="184" fontId="3" fillId="2" borderId="23" xfId="0" applyNumberFormat="1" applyFont="1" applyFill="1" applyBorder="1" applyAlignment="1">
      <alignment horizontal="right" vertical="center"/>
    </xf>
    <xf numFmtId="184" fontId="3" fillId="2" borderId="48" xfId="0" applyNumberFormat="1" applyFont="1" applyFill="1" applyBorder="1" applyAlignment="1">
      <alignment horizontal="right" vertical="center" wrapText="1"/>
    </xf>
    <xf numFmtId="0" fontId="79" fillId="0" borderId="0" xfId="2" applyFont="1" applyFill="1"/>
    <xf numFmtId="0" fontId="79" fillId="0" borderId="0" xfId="2" applyFont="1" applyFill="1" applyAlignment="1">
      <alignment vertical="center"/>
    </xf>
    <xf numFmtId="0" fontId="20" fillId="0" borderId="0" xfId="2" applyFont="1" applyFill="1" applyAlignment="1">
      <alignment vertical="center"/>
    </xf>
    <xf numFmtId="169" fontId="3" fillId="2" borderId="32" xfId="0" applyNumberFormat="1" applyFont="1" applyFill="1" applyBorder="1" applyAlignment="1">
      <alignment horizontal="right" vertical="center" wrapText="1"/>
    </xf>
    <xf numFmtId="169" fontId="3" fillId="2" borderId="50" xfId="0" applyNumberFormat="1" applyFont="1" applyFill="1" applyBorder="1" applyAlignment="1">
      <alignment horizontal="right" vertical="center" wrapText="1"/>
    </xf>
    <xf numFmtId="184" fontId="3" fillId="2" borderId="32" xfId="0" applyNumberFormat="1" applyFont="1" applyFill="1" applyBorder="1" applyAlignment="1">
      <alignment vertical="center" wrapText="1"/>
    </xf>
    <xf numFmtId="184" fontId="3" fillId="2" borderId="50" xfId="0" applyNumberFormat="1" applyFont="1" applyFill="1" applyBorder="1" applyAlignment="1">
      <alignment vertical="center" wrapText="1"/>
    </xf>
    <xf numFmtId="1" fontId="3" fillId="2" borderId="32" xfId="0" applyNumberFormat="1" applyFont="1" applyFill="1" applyBorder="1" applyAlignment="1">
      <alignment vertical="center" wrapText="1"/>
    </xf>
    <xf numFmtId="1" fontId="147" fillId="2" borderId="0" xfId="0" applyNumberFormat="1" applyFont="1" applyFill="1"/>
    <xf numFmtId="166" fontId="3" fillId="2" borderId="0" xfId="0" applyNumberFormat="1" applyFont="1" applyFill="1" applyAlignment="1">
      <alignment horizontal="right" vertical="center" wrapText="1"/>
    </xf>
    <xf numFmtId="166" fontId="4" fillId="2" borderId="0" xfId="0" applyNumberFormat="1" applyFont="1" applyFill="1" applyAlignment="1">
      <alignment horizontal="right" vertical="center" wrapText="1"/>
    </xf>
    <xf numFmtId="166" fontId="3" fillId="2" borderId="1" xfId="0" applyNumberFormat="1" applyFont="1" applyFill="1" applyBorder="1" applyAlignment="1">
      <alignment horizontal="right" vertical="center" wrapText="1" indent="1"/>
    </xf>
    <xf numFmtId="166" fontId="3" fillId="2" borderId="1" xfId="0" applyNumberFormat="1" applyFont="1" applyFill="1" applyBorder="1" applyAlignment="1">
      <alignment horizontal="right" vertical="center" wrapText="1"/>
    </xf>
    <xf numFmtId="166" fontId="3" fillId="2" borderId="0" xfId="0" applyNumberFormat="1" applyFont="1" applyFill="1" applyAlignment="1">
      <alignment vertical="center" wrapText="1"/>
    </xf>
    <xf numFmtId="166" fontId="3" fillId="2" borderId="3" xfId="0" applyNumberFormat="1" applyFont="1" applyFill="1" applyBorder="1" applyAlignment="1">
      <alignment horizontal="right" vertical="center" wrapText="1"/>
    </xf>
    <xf numFmtId="166" fontId="4" fillId="2" borderId="1" xfId="0" applyNumberFormat="1" applyFont="1" applyFill="1" applyBorder="1" applyAlignment="1">
      <alignment vertical="center" wrapText="1"/>
    </xf>
    <xf numFmtId="166" fontId="4" fillId="2" borderId="0" xfId="0" applyNumberFormat="1" applyFont="1" applyFill="1" applyAlignment="1">
      <alignment vertical="center" wrapText="1"/>
    </xf>
    <xf numFmtId="166" fontId="3" fillId="2" borderId="2" xfId="0" applyNumberFormat="1" applyFont="1" applyFill="1" applyBorder="1" applyAlignment="1">
      <alignment vertical="center" wrapText="1"/>
    </xf>
    <xf numFmtId="166" fontId="4" fillId="2" borderId="2" xfId="0" applyNumberFormat="1" applyFont="1" applyFill="1" applyBorder="1" applyAlignment="1">
      <alignment vertical="center" wrapText="1"/>
    </xf>
    <xf numFmtId="166" fontId="4" fillId="2" borderId="3" xfId="0" applyNumberFormat="1" applyFont="1" applyFill="1" applyBorder="1" applyAlignment="1">
      <alignment vertical="center" wrapText="1"/>
    </xf>
    <xf numFmtId="0" fontId="33" fillId="0" borderId="0" xfId="0" applyFont="1" applyAlignment="1">
      <alignment horizontal="right" vertical="center" wrapText="1"/>
    </xf>
    <xf numFmtId="0" fontId="104" fillId="0" borderId="0" xfId="0" applyFont="1" applyAlignment="1">
      <alignment horizontal="left" vertical="center"/>
    </xf>
    <xf numFmtId="0" fontId="0" fillId="2" borderId="58" xfId="0" applyFill="1" applyBorder="1"/>
    <xf numFmtId="0" fontId="0" fillId="2" borderId="18" xfId="0" applyFill="1" applyBorder="1"/>
    <xf numFmtId="174" fontId="3" fillId="0" borderId="1" xfId="0" applyNumberFormat="1" applyFont="1" applyBorder="1" applyAlignment="1">
      <alignment horizontal="right" vertical="center"/>
    </xf>
    <xf numFmtId="0" fontId="12" fillId="2" borderId="0" xfId="0" applyFont="1" applyFill="1"/>
    <xf numFmtId="0" fontId="4" fillId="2" borderId="1" xfId="0" applyFont="1" applyFill="1" applyBorder="1" applyAlignment="1">
      <alignment vertical="center"/>
    </xf>
    <xf numFmtId="0" fontId="3" fillId="0" borderId="33" xfId="0" applyFont="1" applyBorder="1" applyAlignment="1">
      <alignment horizontal="center"/>
    </xf>
    <xf numFmtId="0" fontId="3" fillId="0" borderId="0" xfId="0" applyFont="1" applyAlignment="1">
      <alignment horizontal="center"/>
    </xf>
    <xf numFmtId="1" fontId="4" fillId="0" borderId="20" xfId="0" applyNumberFormat="1" applyFont="1" applyBorder="1" applyAlignment="1">
      <alignment horizontal="center"/>
    </xf>
    <xf numFmtId="174" fontId="3" fillId="0" borderId="20" xfId="0" applyNumberFormat="1" applyFont="1" applyBorder="1" applyAlignment="1">
      <alignment horizontal="center"/>
    </xf>
    <xf numFmtId="174" fontId="4" fillId="3" borderId="0" xfId="0" applyNumberFormat="1" applyFont="1" applyFill="1"/>
    <xf numFmtId="184" fontId="2" fillId="0" borderId="0" xfId="0" applyNumberFormat="1" applyFont="1"/>
    <xf numFmtId="184" fontId="2" fillId="0" borderId="31" xfId="0" applyNumberFormat="1" applyFont="1" applyBorder="1" applyAlignment="1">
      <alignment horizontal="right"/>
    </xf>
    <xf numFmtId="184" fontId="2" fillId="0" borderId="20" xfId="0" applyNumberFormat="1" applyFont="1" applyBorder="1" applyAlignment="1">
      <alignment horizontal="right"/>
    </xf>
    <xf numFmtId="184" fontId="2" fillId="0" borderId="37" xfId="0" applyNumberFormat="1" applyFont="1" applyBorder="1" applyAlignment="1">
      <alignment horizontal="right"/>
    </xf>
    <xf numFmtId="184" fontId="4" fillId="2" borderId="20" xfId="0" applyNumberFormat="1" applyFont="1" applyFill="1" applyBorder="1" applyAlignment="1">
      <alignment horizontal="right" vertical="center" wrapText="1"/>
    </xf>
    <xf numFmtId="184" fontId="3" fillId="2" borderId="20" xfId="0" applyNumberFormat="1" applyFont="1" applyFill="1" applyBorder="1" applyAlignment="1">
      <alignment horizontal="right" vertical="center" wrapText="1"/>
    </xf>
    <xf numFmtId="184" fontId="3" fillId="2" borderId="21" xfId="0" applyNumberFormat="1" applyFont="1" applyFill="1" applyBorder="1" applyAlignment="1">
      <alignment horizontal="right" vertical="center" wrapText="1"/>
    </xf>
    <xf numFmtId="184" fontId="4" fillId="2" borderId="21" xfId="0" applyNumberFormat="1" applyFont="1" applyFill="1" applyBorder="1" applyAlignment="1">
      <alignment horizontal="right" vertical="center" wrapText="1"/>
    </xf>
    <xf numFmtId="3" fontId="3" fillId="0" borderId="1" xfId="0" applyNumberFormat="1" applyFont="1" applyBorder="1" applyAlignment="1">
      <alignment vertical="center" wrapText="1"/>
    </xf>
    <xf numFmtId="177" fontId="3" fillId="0" borderId="3" xfId="0" applyNumberFormat="1" applyFont="1" applyBorder="1" applyAlignment="1">
      <alignment vertical="center" wrapText="1"/>
    </xf>
    <xf numFmtId="184" fontId="3" fillId="4" borderId="1" xfId="0" applyNumberFormat="1" applyFont="1" applyFill="1" applyBorder="1" applyAlignment="1">
      <alignment vertical="center" wrapText="1"/>
    </xf>
    <xf numFmtId="184" fontId="4" fillId="4" borderId="1" xfId="0" applyNumberFormat="1" applyFont="1" applyFill="1" applyBorder="1" applyAlignment="1">
      <alignment vertical="center" wrapText="1"/>
    </xf>
    <xf numFmtId="184" fontId="3" fillId="4" borderId="3" xfId="0" applyNumberFormat="1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179" fontId="3" fillId="2" borderId="1" xfId="0" applyNumberFormat="1" applyFont="1" applyFill="1" applyBorder="1" applyAlignment="1">
      <alignment vertical="center" wrapText="1"/>
    </xf>
    <xf numFmtId="179" fontId="3" fillId="0" borderId="1" xfId="0" applyNumberFormat="1" applyFont="1" applyBorder="1" applyAlignment="1">
      <alignment horizontal="right" vertical="center" wrapText="1"/>
    </xf>
    <xf numFmtId="0" fontId="5" fillId="2" borderId="0" xfId="0" applyFont="1" applyFill="1" applyAlignment="1">
      <alignment horizontal="center" vertical="center"/>
    </xf>
    <xf numFmtId="185" fontId="4" fillId="2" borderId="1" xfId="0" applyNumberFormat="1" applyFont="1" applyFill="1" applyBorder="1" applyAlignment="1">
      <alignment vertical="center" wrapText="1"/>
    </xf>
    <xf numFmtId="185" fontId="3" fillId="2" borderId="1" xfId="0" applyNumberFormat="1" applyFont="1" applyFill="1" applyBorder="1" applyAlignment="1">
      <alignment vertical="center" wrapText="1"/>
    </xf>
    <xf numFmtId="185" fontId="3" fillId="2" borderId="0" xfId="0" applyNumberFormat="1" applyFont="1" applyFill="1" applyAlignment="1">
      <alignment vertical="center" wrapText="1"/>
    </xf>
    <xf numFmtId="0" fontId="3" fillId="2" borderId="0" xfId="0" applyFont="1" applyFill="1" applyAlignment="1">
      <alignment horizontal="center" vertical="top" wrapText="1"/>
    </xf>
    <xf numFmtId="172" fontId="7" fillId="0" borderId="0" xfId="0" applyNumberFormat="1" applyFont="1" applyAlignment="1">
      <alignment horizontal="right" vertical="center" wrapText="1"/>
    </xf>
    <xf numFmtId="172" fontId="76" fillId="0" borderId="0" xfId="0" applyNumberFormat="1" applyFont="1" applyAlignment="1">
      <alignment horizontal="right" vertical="center" wrapText="1"/>
    </xf>
    <xf numFmtId="172" fontId="0" fillId="0" borderId="0" xfId="0" applyNumberFormat="1" applyAlignment="1">
      <alignment horizontal="right"/>
    </xf>
    <xf numFmtId="184" fontId="4" fillId="0" borderId="0" xfId="0" applyNumberFormat="1" applyFont="1" applyAlignment="1">
      <alignment horizontal="right" vertical="center" wrapText="1"/>
    </xf>
    <xf numFmtId="179" fontId="4" fillId="0" borderId="1" xfId="0" applyNumberFormat="1" applyFont="1" applyBorder="1" applyAlignment="1">
      <alignment horizontal="right" vertical="center"/>
    </xf>
    <xf numFmtId="179" fontId="4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86" fontId="8" fillId="0" borderId="1" xfId="0" applyNumberFormat="1" applyFont="1" applyBorder="1" applyAlignment="1">
      <alignment horizontal="right" vertical="center" wrapText="1"/>
    </xf>
    <xf numFmtId="172" fontId="17" fillId="0" borderId="19" xfId="0" applyNumberFormat="1" applyFont="1" applyBorder="1" applyAlignment="1">
      <alignment horizontal="right" vertical="center" wrapText="1"/>
    </xf>
    <xf numFmtId="172" fontId="18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172" fontId="18" fillId="2" borderId="19" xfId="0" applyNumberFormat="1" applyFont="1" applyFill="1" applyBorder="1" applyAlignment="1">
      <alignment horizontal="right" vertical="center" wrapText="1"/>
    </xf>
    <xf numFmtId="179" fontId="4" fillId="2" borderId="1" xfId="0" applyNumberFormat="1" applyFont="1" applyFill="1" applyBorder="1" applyAlignment="1">
      <alignment horizontal="right" vertical="center"/>
    </xf>
    <xf numFmtId="179" fontId="3" fillId="2" borderId="1" xfId="0" applyNumberFormat="1" applyFont="1" applyFill="1" applyBorder="1" applyAlignment="1">
      <alignment horizontal="right" vertical="center" wrapText="1"/>
    </xf>
    <xf numFmtId="179" fontId="4" fillId="2" borderId="1" xfId="0" applyNumberFormat="1" applyFont="1" applyFill="1" applyBorder="1" applyAlignment="1">
      <alignment horizontal="right" vertical="center" wrapText="1"/>
    </xf>
    <xf numFmtId="184" fontId="3" fillId="2" borderId="2" xfId="0" applyNumberFormat="1" applyFont="1" applyFill="1" applyBorder="1" applyAlignment="1">
      <alignment horizontal="right" vertical="center" wrapText="1"/>
    </xf>
    <xf numFmtId="187" fontId="4" fillId="2" borderId="1" xfId="0" applyNumberFormat="1" applyFont="1" applyFill="1" applyBorder="1" applyAlignment="1">
      <alignment horizontal="right" vertical="center" wrapText="1"/>
    </xf>
    <xf numFmtId="187" fontId="3" fillId="2" borderId="1" xfId="0" applyNumberFormat="1" applyFont="1" applyFill="1" applyBorder="1" applyAlignment="1">
      <alignment horizontal="right" vertical="center" wrapText="1"/>
    </xf>
    <xf numFmtId="187" fontId="3" fillId="2" borderId="2" xfId="0" applyNumberFormat="1" applyFont="1" applyFill="1" applyBorder="1" applyAlignment="1">
      <alignment horizontal="right" vertical="center" wrapText="1"/>
    </xf>
    <xf numFmtId="166" fontId="3" fillId="0" borderId="1" xfId="658" applyNumberFormat="1" applyFont="1" applyFill="1" applyBorder="1" applyAlignment="1">
      <alignment vertical="center" wrapText="1"/>
    </xf>
    <xf numFmtId="185" fontId="4" fillId="0" borderId="1" xfId="0" applyNumberFormat="1" applyFont="1" applyBorder="1" applyAlignment="1">
      <alignment vertical="center" wrapText="1"/>
    </xf>
    <xf numFmtId="185" fontId="3" fillId="0" borderId="1" xfId="0" applyNumberFormat="1" applyFont="1" applyBorder="1" applyAlignment="1">
      <alignment vertical="center" wrapText="1"/>
    </xf>
    <xf numFmtId="185" fontId="3" fillId="0" borderId="0" xfId="0" applyNumberFormat="1" applyFont="1" applyAlignment="1">
      <alignment vertical="center" wrapText="1"/>
    </xf>
    <xf numFmtId="184" fontId="3" fillId="0" borderId="1" xfId="0" applyNumberFormat="1" applyFont="1" applyBorder="1" applyAlignment="1">
      <alignment vertical="center"/>
    </xf>
    <xf numFmtId="184" fontId="3" fillId="0" borderId="0" xfId="0" applyNumberFormat="1" applyFont="1" applyAlignment="1">
      <alignment vertical="center"/>
    </xf>
    <xf numFmtId="1" fontId="3" fillId="2" borderId="1" xfId="0" applyNumberFormat="1" applyFont="1" applyFill="1" applyBorder="1" applyAlignment="1">
      <alignment horizontal="right" vertical="center" wrapText="1"/>
    </xf>
    <xf numFmtId="2" fontId="4" fillId="0" borderId="0" xfId="0" applyNumberFormat="1" applyFont="1" applyAlignment="1">
      <alignment horizontal="right" vertical="center" wrapText="1"/>
    </xf>
    <xf numFmtId="2" fontId="3" fillId="0" borderId="0" xfId="0" applyNumberFormat="1" applyFont="1" applyAlignment="1">
      <alignment horizontal="right" vertical="center" wrapText="1"/>
    </xf>
    <xf numFmtId="188" fontId="3" fillId="2" borderId="22" xfId="0" applyNumberFormat="1" applyFont="1" applyFill="1" applyBorder="1" applyAlignment="1">
      <alignment vertical="center" wrapText="1"/>
    </xf>
    <xf numFmtId="188" fontId="3" fillId="0" borderId="22" xfId="0" applyNumberFormat="1" applyFont="1" applyBorder="1" applyAlignment="1">
      <alignment vertical="center" wrapText="1"/>
    </xf>
    <xf numFmtId="188" fontId="4" fillId="56" borderId="0" xfId="0" applyNumberFormat="1" applyFont="1" applyFill="1" applyAlignment="1">
      <alignment vertical="center" wrapText="1"/>
    </xf>
    <xf numFmtId="188" fontId="4" fillId="2" borderId="0" xfId="0" applyNumberFormat="1" applyFont="1" applyFill="1" applyAlignment="1">
      <alignment horizontal="right" vertical="center" wrapText="1"/>
    </xf>
    <xf numFmtId="188" fontId="4" fillId="56" borderId="0" xfId="0" applyNumberFormat="1" applyFont="1" applyFill="1" applyAlignment="1">
      <alignment horizontal="right" vertical="center" wrapText="1"/>
    </xf>
    <xf numFmtId="189" fontId="4" fillId="56" borderId="0" xfId="0" applyNumberFormat="1" applyFont="1" applyFill="1" applyAlignment="1">
      <alignment vertical="center" wrapText="1"/>
    </xf>
    <xf numFmtId="184" fontId="3" fillId="0" borderId="21" xfId="0" applyNumberFormat="1" applyFont="1" applyBorder="1" applyAlignment="1">
      <alignment horizontal="right" vertical="center"/>
    </xf>
    <xf numFmtId="184" fontId="3" fillId="0" borderId="2" xfId="0" applyNumberFormat="1" applyFont="1" applyBorder="1" applyAlignment="1">
      <alignment vertical="center"/>
    </xf>
    <xf numFmtId="184" fontId="3" fillId="0" borderId="3" xfId="0" applyNumberFormat="1" applyFont="1" applyBorder="1" applyAlignment="1">
      <alignment vertical="center"/>
    </xf>
    <xf numFmtId="184" fontId="3" fillId="0" borderId="1" xfId="0" applyNumberFormat="1" applyFont="1" applyBorder="1" applyAlignment="1">
      <alignment horizontal="right" vertical="center"/>
    </xf>
    <xf numFmtId="184" fontId="3" fillId="0" borderId="2" xfId="0" applyNumberFormat="1" applyFont="1" applyBorder="1" applyAlignment="1">
      <alignment horizontal="right" vertical="center"/>
    </xf>
    <xf numFmtId="184" fontId="3" fillId="0" borderId="3" xfId="0" applyNumberFormat="1" applyFont="1" applyBorder="1" applyAlignment="1">
      <alignment horizontal="right" vertical="center"/>
    </xf>
    <xf numFmtId="184" fontId="8" fillId="0" borderId="1" xfId="0" applyNumberFormat="1" applyFont="1" applyBorder="1" applyAlignment="1">
      <alignment vertical="center" wrapText="1"/>
    </xf>
    <xf numFmtId="184" fontId="3" fillId="0" borderId="3" xfId="0" applyNumberFormat="1" applyFont="1" applyBorder="1" applyAlignment="1">
      <alignment horizontal="right" vertical="center" wrapText="1"/>
    </xf>
    <xf numFmtId="184" fontId="8" fillId="0" borderId="0" xfId="0" applyNumberFormat="1" applyFont="1" applyAlignment="1">
      <alignment vertical="center" wrapText="1"/>
    </xf>
    <xf numFmtId="184" fontId="3" fillId="0" borderId="23" xfId="0" applyNumberFormat="1" applyFont="1" applyBorder="1" applyAlignment="1">
      <alignment vertical="center"/>
    </xf>
    <xf numFmtId="184" fontId="3" fillId="0" borderId="24" xfId="0" applyNumberFormat="1" applyFont="1" applyBorder="1" applyAlignment="1">
      <alignment vertical="center" wrapText="1"/>
    </xf>
    <xf numFmtId="184" fontId="3" fillId="0" borderId="25" xfId="0" applyNumberFormat="1" applyFont="1" applyBorder="1" applyAlignment="1">
      <alignment vertical="center"/>
    </xf>
    <xf numFmtId="187" fontId="3" fillId="2" borderId="22" xfId="0" applyNumberFormat="1" applyFont="1" applyFill="1" applyBorder="1" applyAlignment="1">
      <alignment vertical="center"/>
    </xf>
    <xf numFmtId="187" fontId="3" fillId="2" borderId="23" xfId="0" applyNumberFormat="1" applyFont="1" applyFill="1" applyBorder="1" applyAlignment="1">
      <alignment vertical="center" wrapText="1"/>
    </xf>
    <xf numFmtId="187" fontId="3" fillId="2" borderId="24" xfId="0" applyNumberFormat="1" applyFont="1" applyFill="1" applyBorder="1" applyAlignment="1">
      <alignment vertical="center" wrapText="1"/>
    </xf>
    <xf numFmtId="1" fontId="3" fillId="2" borderId="0" xfId="0" applyNumberFormat="1" applyFont="1" applyFill="1" applyAlignment="1">
      <alignment vertical="center"/>
    </xf>
    <xf numFmtId="184" fontId="8" fillId="0" borderId="2" xfId="0" applyNumberFormat="1" applyFont="1" applyBorder="1" applyAlignment="1">
      <alignment vertical="center" wrapText="1"/>
    </xf>
    <xf numFmtId="184" fontId="3" fillId="0" borderId="22" xfId="0" applyNumberFormat="1" applyFont="1" applyBorder="1" applyAlignment="1">
      <alignment vertical="center"/>
    </xf>
    <xf numFmtId="184" fontId="3" fillId="0" borderId="48" xfId="0" applyNumberFormat="1" applyFont="1" applyBorder="1" applyAlignment="1">
      <alignment vertical="center"/>
    </xf>
    <xf numFmtId="184" fontId="3" fillId="0" borderId="22" xfId="0" applyNumberFormat="1" applyFont="1" applyBorder="1" applyAlignment="1">
      <alignment horizontal="right" vertical="center"/>
    </xf>
    <xf numFmtId="184" fontId="3" fillId="0" borderId="23" xfId="0" applyNumberFormat="1" applyFont="1" applyBorder="1" applyAlignment="1">
      <alignment horizontal="right" vertical="center"/>
    </xf>
    <xf numFmtId="184" fontId="3" fillId="0" borderId="48" xfId="0" applyNumberFormat="1" applyFont="1" applyBorder="1" applyAlignment="1">
      <alignment horizontal="right" vertical="center" wrapText="1"/>
    </xf>
    <xf numFmtId="184" fontId="8" fillId="0" borderId="49" xfId="0" applyNumberFormat="1" applyFont="1" applyBorder="1" applyAlignment="1">
      <alignment vertical="center" wrapText="1"/>
    </xf>
    <xf numFmtId="184" fontId="8" fillId="0" borderId="32" xfId="0" applyNumberFormat="1" applyFont="1" applyBorder="1" applyAlignment="1">
      <alignment vertical="center" wrapText="1"/>
    </xf>
    <xf numFmtId="0" fontId="8" fillId="0" borderId="50" xfId="0" applyFont="1" applyBorder="1" applyAlignment="1">
      <alignment horizontal="right" vertical="center" wrapText="1"/>
    </xf>
    <xf numFmtId="1" fontId="147" fillId="0" borderId="0" xfId="0" applyNumberFormat="1" applyFont="1"/>
    <xf numFmtId="0" fontId="76" fillId="0" borderId="0" xfId="2" applyFont="1" applyAlignment="1">
      <alignment horizontal="left" vertical="center"/>
    </xf>
    <xf numFmtId="184" fontId="4" fillId="0" borderId="0" xfId="0" applyNumberFormat="1" applyFont="1" applyAlignment="1">
      <alignment vertical="center" wrapText="1"/>
    </xf>
    <xf numFmtId="184" fontId="12" fillId="0" borderId="20" xfId="0" applyNumberFormat="1" applyFont="1" applyBorder="1" applyAlignment="1">
      <alignment vertical="center" wrapText="1"/>
    </xf>
    <xf numFmtId="184" fontId="2" fillId="0" borderId="20" xfId="0" applyNumberFormat="1" applyFont="1" applyBorder="1" applyAlignment="1">
      <alignment vertical="center" wrapText="1"/>
    </xf>
    <xf numFmtId="184" fontId="12" fillId="0" borderId="21" xfId="0" applyNumberFormat="1" applyFont="1" applyBorder="1" applyAlignment="1">
      <alignment vertical="center" wrapText="1"/>
    </xf>
    <xf numFmtId="184" fontId="2" fillId="0" borderId="21" xfId="0" applyNumberFormat="1" applyFont="1" applyBorder="1" applyAlignment="1">
      <alignment horizontal="right" vertical="center" wrapText="1"/>
    </xf>
    <xf numFmtId="184" fontId="17" fillId="0" borderId="1" xfId="0" applyNumberFormat="1" applyFont="1" applyBorder="1" applyAlignment="1">
      <alignment vertical="center" wrapText="1"/>
    </xf>
    <xf numFmtId="184" fontId="0" fillId="0" borderId="0" xfId="0" applyNumberFormat="1"/>
    <xf numFmtId="169" fontId="3" fillId="0" borderId="3" xfId="0" applyNumberFormat="1" applyFont="1" applyBorder="1" applyAlignment="1">
      <alignment vertical="center" wrapText="1"/>
    </xf>
    <xf numFmtId="0" fontId="138" fillId="0" borderId="0" xfId="2" applyFont="1"/>
    <xf numFmtId="177" fontId="12" fillId="0" borderId="49" xfId="0" applyNumberFormat="1" applyFont="1" applyBorder="1" applyAlignment="1">
      <alignment horizontal="right" vertical="center" wrapText="1"/>
    </xf>
    <xf numFmtId="188" fontId="12" fillId="3" borderId="0" xfId="0" applyNumberFormat="1" applyFont="1" applyFill="1" applyAlignment="1">
      <alignment horizontal="right"/>
    </xf>
    <xf numFmtId="184" fontId="2" fillId="0" borderId="20" xfId="0" applyNumberFormat="1" applyFont="1" applyBorder="1" applyAlignment="1">
      <alignment horizontal="right" vertical="center" wrapText="1"/>
    </xf>
    <xf numFmtId="187" fontId="12" fillId="2" borderId="0" xfId="0" applyNumberFormat="1" applyFont="1" applyFill="1" applyAlignment="1">
      <alignment horizontal="left" vertical="center" wrapText="1" indent="1"/>
    </xf>
    <xf numFmtId="184" fontId="3" fillId="3" borderId="1" xfId="0" applyNumberFormat="1" applyFont="1" applyFill="1" applyBorder="1" applyAlignment="1">
      <alignment horizontal="right" vertical="center" wrapText="1"/>
    </xf>
    <xf numFmtId="184" fontId="17" fillId="0" borderId="2" xfId="0" applyNumberFormat="1" applyFont="1" applyBorder="1" applyAlignment="1">
      <alignment vertical="center" wrapText="1"/>
    </xf>
    <xf numFmtId="184" fontId="17" fillId="0" borderId="0" xfId="0" applyNumberFormat="1" applyFont="1" applyAlignment="1">
      <alignment vertical="center" wrapText="1"/>
    </xf>
    <xf numFmtId="184" fontId="17" fillId="0" borderId="2" xfId="0" applyNumberFormat="1" applyFont="1" applyBorder="1" applyAlignment="1">
      <alignment vertical="center"/>
    </xf>
    <xf numFmtId="184" fontId="3" fillId="3" borderId="3" xfId="0" applyNumberFormat="1" applyFont="1" applyFill="1" applyBorder="1" applyAlignment="1">
      <alignment horizontal="right" vertical="center" wrapText="1"/>
    </xf>
    <xf numFmtId="184" fontId="3" fillId="3" borderId="0" xfId="0" applyNumberFormat="1" applyFont="1" applyFill="1" applyAlignment="1">
      <alignment horizontal="right" vertical="center" wrapText="1"/>
    </xf>
    <xf numFmtId="184" fontId="4" fillId="0" borderId="22" xfId="0" applyNumberFormat="1" applyFont="1" applyBorder="1" applyAlignment="1">
      <alignment vertical="center" wrapText="1"/>
    </xf>
    <xf numFmtId="184" fontId="4" fillId="0" borderId="0" xfId="0" applyNumberFormat="1" applyFont="1" applyAlignment="1">
      <alignment horizontal="left" vertical="center" wrapText="1" indent="1"/>
    </xf>
    <xf numFmtId="184" fontId="4" fillId="0" borderId="3" xfId="0" applyNumberFormat="1" applyFont="1" applyBorder="1" applyAlignment="1">
      <alignment vertical="center" wrapText="1"/>
    </xf>
    <xf numFmtId="184" fontId="4" fillId="0" borderId="1" xfId="0" applyNumberFormat="1" applyFont="1" applyBorder="1" applyAlignment="1">
      <alignment horizontal="right" vertical="center" wrapText="1"/>
    </xf>
    <xf numFmtId="179" fontId="70" fillId="0" borderId="0" xfId="661" applyNumberFormat="1" applyFont="1" applyAlignment="1">
      <alignment vertical="top" wrapText="1"/>
    </xf>
    <xf numFmtId="179" fontId="70" fillId="0" borderId="28" xfId="661" applyNumberFormat="1" applyFont="1" applyBorder="1" applyAlignment="1">
      <alignment vertical="top" wrapText="1"/>
    </xf>
    <xf numFmtId="179" fontId="107" fillId="55" borderId="0" xfId="661" applyNumberFormat="1" applyFont="1" applyFill="1"/>
    <xf numFmtId="179" fontId="2" fillId="55" borderId="0" xfId="0" applyNumberFormat="1" applyFont="1" applyFill="1"/>
    <xf numFmtId="179" fontId="70" fillId="0" borderId="28" xfId="661" applyNumberFormat="1" applyFont="1" applyBorder="1" applyAlignment="1">
      <alignment horizontal="right" vertical="top" wrapText="1"/>
    </xf>
    <xf numFmtId="179" fontId="70" fillId="0" borderId="0" xfId="661" applyNumberFormat="1" applyFont="1" applyAlignment="1">
      <alignment horizontal="right" vertical="top" wrapText="1"/>
    </xf>
    <xf numFmtId="179" fontId="2" fillId="55" borderId="0" xfId="0" applyNumberFormat="1" applyFont="1" applyFill="1" applyAlignment="1">
      <alignment horizontal="right" vertical="top"/>
    </xf>
    <xf numFmtId="179" fontId="3" fillId="0" borderId="0" xfId="661" applyNumberFormat="1" applyFont="1"/>
    <xf numFmtId="179" fontId="70" fillId="0" borderId="28" xfId="661" applyNumberFormat="1" applyFont="1" applyBorder="1" applyAlignment="1">
      <alignment vertical="top"/>
    </xf>
    <xf numFmtId="172" fontId="4" fillId="0" borderId="3" xfId="0" applyNumberFormat="1" applyFont="1" applyBorder="1" applyAlignment="1">
      <alignment horizontal="right" vertical="center" wrapText="1"/>
    </xf>
    <xf numFmtId="174" fontId="4" fillId="0" borderId="47" xfId="0" applyNumberFormat="1" applyFont="1" applyBorder="1" applyAlignment="1">
      <alignment horizontal="right" vertical="center" wrapText="1" indent="1"/>
    </xf>
    <xf numFmtId="179" fontId="4" fillId="0" borderId="47" xfId="0" applyNumberFormat="1" applyFont="1" applyBorder="1" applyAlignment="1">
      <alignment horizontal="right" vertical="center" wrapText="1" indent="1"/>
    </xf>
    <xf numFmtId="1" fontId="4" fillId="0" borderId="1" xfId="0" applyNumberFormat="1" applyFont="1" applyBorder="1" applyAlignment="1">
      <alignment vertical="center" wrapText="1"/>
    </xf>
    <xf numFmtId="184" fontId="3" fillId="0" borderId="32" xfId="0" applyNumberFormat="1" applyFont="1" applyBorder="1" applyAlignment="1">
      <alignment vertical="center" wrapText="1"/>
    </xf>
    <xf numFmtId="184" fontId="3" fillId="0" borderId="50" xfId="0" applyNumberFormat="1" applyFont="1" applyBorder="1" applyAlignment="1">
      <alignment vertical="center" wrapText="1"/>
    </xf>
    <xf numFmtId="0" fontId="113" fillId="0" borderId="0" xfId="0" applyFont="1"/>
    <xf numFmtId="166" fontId="2" fillId="3" borderId="20" xfId="0" applyNumberFormat="1" applyFont="1" applyFill="1" applyBorder="1"/>
    <xf numFmtId="166" fontId="2" fillId="3" borderId="21" xfId="0" applyNumberFormat="1" applyFont="1" applyFill="1" applyBorder="1"/>
    <xf numFmtId="166" fontId="2" fillId="3" borderId="27" xfId="0" applyNumberFormat="1" applyFont="1" applyFill="1" applyBorder="1"/>
    <xf numFmtId="169" fontId="43" fillId="3" borderId="20" xfId="0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center" wrapText="1"/>
    </xf>
    <xf numFmtId="166" fontId="149" fillId="3" borderId="0" xfId="0" applyNumberFormat="1" applyFont="1" applyFill="1"/>
    <xf numFmtId="166" fontId="3" fillId="0" borderId="0" xfId="0" applyNumberFormat="1" applyFont="1" applyAlignment="1">
      <alignment horizontal="right" vertical="center" wrapText="1"/>
    </xf>
    <xf numFmtId="166" fontId="4" fillId="0" borderId="0" xfId="0" applyNumberFormat="1" applyFont="1" applyAlignment="1">
      <alignment horizontal="right" vertical="center" wrapText="1"/>
    </xf>
    <xf numFmtId="179" fontId="3" fillId="0" borderId="1" xfId="0" applyNumberFormat="1" applyFont="1" applyBorder="1" applyAlignment="1">
      <alignment vertical="center" wrapText="1"/>
    </xf>
    <xf numFmtId="166" fontId="3" fillId="0" borderId="0" xfId="0" applyNumberFormat="1" applyFont="1" applyAlignment="1">
      <alignment vertical="center" wrapText="1"/>
    </xf>
    <xf numFmtId="166" fontId="3" fillId="0" borderId="3" xfId="0" applyNumberFormat="1" applyFont="1" applyBorder="1" applyAlignment="1">
      <alignment horizontal="right" vertical="center" wrapText="1"/>
    </xf>
    <xf numFmtId="179" fontId="4" fillId="2" borderId="1" xfId="0" applyNumberFormat="1" applyFont="1" applyFill="1" applyBorder="1" applyAlignment="1">
      <alignment vertical="center" wrapText="1"/>
    </xf>
    <xf numFmtId="179" fontId="4" fillId="0" borderId="1" xfId="0" applyNumberFormat="1" applyFont="1" applyBorder="1" applyAlignment="1">
      <alignment vertical="center" wrapText="1"/>
    </xf>
    <xf numFmtId="179" fontId="4" fillId="2" borderId="0" xfId="0" applyNumberFormat="1" applyFont="1" applyFill="1" applyAlignment="1">
      <alignment vertical="center" wrapText="1"/>
    </xf>
    <xf numFmtId="166" fontId="3" fillId="0" borderId="2" xfId="0" applyNumberFormat="1" applyFont="1" applyBorder="1" applyAlignment="1">
      <alignment vertical="center" wrapText="1"/>
    </xf>
    <xf numFmtId="166" fontId="3" fillId="3" borderId="0" xfId="0" applyNumberFormat="1" applyFont="1" applyFill="1" applyAlignment="1">
      <alignment vertical="center" wrapText="1"/>
    </xf>
    <xf numFmtId="166" fontId="4" fillId="0" borderId="2" xfId="0" applyNumberFormat="1" applyFont="1" applyBorder="1" applyAlignment="1">
      <alignment vertical="center" wrapText="1"/>
    </xf>
    <xf numFmtId="166" fontId="4" fillId="0" borderId="3" xfId="0" applyNumberFormat="1" applyFont="1" applyBorder="1" applyAlignment="1">
      <alignment vertical="center" wrapText="1"/>
    </xf>
    <xf numFmtId="184" fontId="3" fillId="0" borderId="2" xfId="0" applyNumberFormat="1" applyFont="1" applyBorder="1" applyAlignment="1">
      <alignment horizontal="right" vertical="center" wrapText="1"/>
    </xf>
    <xf numFmtId="184" fontId="4" fillId="0" borderId="20" xfId="0" applyNumberFormat="1" applyFont="1" applyBorder="1" applyAlignment="1">
      <alignment horizontal="right" vertical="center" wrapText="1"/>
    </xf>
    <xf numFmtId="184" fontId="3" fillId="0" borderId="20" xfId="0" applyNumberFormat="1" applyFont="1" applyBorder="1" applyAlignment="1">
      <alignment horizontal="right" vertical="center" wrapText="1"/>
    </xf>
    <xf numFmtId="184" fontId="3" fillId="0" borderId="21" xfId="0" applyNumberFormat="1" applyFont="1" applyBorder="1" applyAlignment="1">
      <alignment horizontal="right" vertical="center" wrapText="1"/>
    </xf>
    <xf numFmtId="184" fontId="4" fillId="0" borderId="21" xfId="0" applyNumberFormat="1" applyFont="1" applyBorder="1" applyAlignment="1">
      <alignment horizontal="right" vertical="center" wrapText="1"/>
    </xf>
    <xf numFmtId="0" fontId="3" fillId="2" borderId="0" xfId="0" applyFont="1" applyFill="1" applyAlignment="1">
      <alignment horizontal="center" vertical="center"/>
    </xf>
    <xf numFmtId="0" fontId="69" fillId="0" borderId="0" xfId="0" applyFont="1" applyAlignment="1">
      <alignment horizontal="center"/>
    </xf>
    <xf numFmtId="0" fontId="70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72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172" fontId="17" fillId="2" borderId="1" xfId="0" applyNumberFormat="1" applyFont="1" applyFill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172" fontId="17" fillId="2" borderId="2" xfId="0" applyNumberFormat="1" applyFont="1" applyFill="1" applyBorder="1" applyAlignment="1">
      <alignment horizontal="right" vertical="center" wrapText="1"/>
    </xf>
    <xf numFmtId="0" fontId="151" fillId="4" borderId="0" xfId="0" applyFont="1" applyFill="1" applyAlignment="1">
      <alignment horizontal="center" vertical="center" wrapText="1"/>
    </xf>
    <xf numFmtId="0" fontId="152" fillId="0" borderId="0" xfId="0" applyFont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 indent="1"/>
    </xf>
    <xf numFmtId="0" fontId="18" fillId="2" borderId="1" xfId="0" applyFont="1" applyFill="1" applyBorder="1" applyAlignment="1">
      <alignment horizontal="right" vertical="center" wrapText="1"/>
    </xf>
    <xf numFmtId="0" fontId="18" fillId="2" borderId="2" xfId="0" applyFont="1" applyFill="1" applyBorder="1" applyAlignment="1">
      <alignment horizontal="right" vertical="center" wrapText="1"/>
    </xf>
    <xf numFmtId="172" fontId="18" fillId="2" borderId="2" xfId="0" applyNumberFormat="1" applyFont="1" applyFill="1" applyBorder="1" applyAlignment="1">
      <alignment horizontal="right" vertical="center" wrapText="1"/>
    </xf>
    <xf numFmtId="0" fontId="18" fillId="2" borderId="1" xfId="0" applyFont="1" applyFill="1" applyBorder="1" applyAlignment="1">
      <alignment horizontal="center" vertical="center" wrapText="1"/>
    </xf>
    <xf numFmtId="172" fontId="18" fillId="2" borderId="1" xfId="0" applyNumberFormat="1" applyFont="1" applyFill="1" applyBorder="1" applyAlignment="1">
      <alignment horizontal="right" vertical="center" wrapText="1"/>
    </xf>
    <xf numFmtId="0" fontId="17" fillId="2" borderId="1" xfId="0" applyFont="1" applyFill="1" applyBorder="1" applyAlignment="1">
      <alignment horizontal="center" vertical="center" wrapText="1"/>
    </xf>
    <xf numFmtId="172" fontId="18" fillId="0" borderId="1" xfId="0" applyNumberFormat="1" applyFont="1" applyBorder="1" applyAlignment="1">
      <alignment horizontal="right" vertical="center" wrapText="1"/>
    </xf>
    <xf numFmtId="0" fontId="18" fillId="2" borderId="2" xfId="0" applyFont="1" applyFill="1" applyBorder="1" applyAlignment="1">
      <alignment horizontal="left" vertical="center" wrapText="1" indent="1"/>
    </xf>
    <xf numFmtId="0" fontId="18" fillId="2" borderId="2" xfId="0" applyFont="1" applyFill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0" fontId="18" fillId="2" borderId="59" xfId="0" applyFont="1" applyFill="1" applyBorder="1" applyAlignment="1">
      <alignment vertical="center" wrapText="1"/>
    </xf>
    <xf numFmtId="0" fontId="18" fillId="2" borderId="60" xfId="0" applyFont="1" applyFill="1" applyBorder="1" applyAlignment="1">
      <alignment horizontal="right" vertical="center" wrapText="1"/>
    </xf>
    <xf numFmtId="0" fontId="18" fillId="2" borderId="60" xfId="0" applyFont="1" applyFill="1" applyBorder="1" applyAlignment="1">
      <alignment horizontal="center" vertical="center" wrapText="1"/>
    </xf>
    <xf numFmtId="172" fontId="18" fillId="2" borderId="60" xfId="0" applyNumberFormat="1" applyFont="1" applyFill="1" applyBorder="1" applyAlignment="1">
      <alignment horizontal="right" vertical="center" wrapText="1"/>
    </xf>
    <xf numFmtId="0" fontId="18" fillId="2" borderId="0" xfId="0" applyFont="1" applyFill="1" applyAlignment="1">
      <alignment horizontal="left" vertical="center" wrapText="1" indent="1"/>
    </xf>
    <xf numFmtId="172" fontId="18" fillId="2" borderId="61" xfId="0" applyNumberFormat="1" applyFont="1" applyFill="1" applyBorder="1" applyAlignment="1">
      <alignment horizontal="right" vertical="center" wrapText="1"/>
    </xf>
    <xf numFmtId="0" fontId="18" fillId="2" borderId="0" xfId="0" applyFont="1" applyFill="1" applyAlignment="1">
      <alignment horizontal="center" vertical="center" wrapText="1"/>
    </xf>
    <xf numFmtId="172" fontId="18" fillId="2" borderId="0" xfId="0" applyNumberFormat="1" applyFont="1" applyFill="1" applyAlignment="1">
      <alignment horizontal="right" vertical="center" wrapText="1"/>
    </xf>
    <xf numFmtId="172" fontId="18" fillId="2" borderId="0" xfId="0" applyNumberFormat="1" applyFont="1" applyFill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72" fillId="2" borderId="18" xfId="0" applyFont="1" applyFill="1" applyBorder="1" applyAlignment="1">
      <alignment horizontal="center" vertical="center" wrapText="1"/>
    </xf>
    <xf numFmtId="0" fontId="155" fillId="2" borderId="18" xfId="0" applyFont="1" applyFill="1" applyBorder="1" applyAlignment="1">
      <alignment vertical="center"/>
    </xf>
    <xf numFmtId="0" fontId="8" fillId="2" borderId="0" xfId="0" applyFont="1" applyFill="1" applyAlignment="1">
      <alignment horizontal="right" vertical="center" wrapText="1"/>
    </xf>
    <xf numFmtId="0" fontId="8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0" fontId="152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 indent="2"/>
    </xf>
    <xf numFmtId="0" fontId="9" fillId="0" borderId="1" xfId="0" applyFont="1" applyBorder="1" applyAlignment="1">
      <alignment horizontal="center" vertical="center" wrapText="1"/>
    </xf>
    <xf numFmtId="0" fontId="72" fillId="2" borderId="18" xfId="0" applyFont="1" applyFill="1" applyBorder="1" applyAlignment="1">
      <alignment vertical="center" wrapText="1"/>
    </xf>
    <xf numFmtId="0" fontId="155" fillId="2" borderId="18" xfId="0" applyFont="1" applyFill="1" applyBorder="1" applyAlignment="1">
      <alignment horizontal="left" vertical="center" wrapText="1"/>
    </xf>
    <xf numFmtId="170" fontId="152" fillId="0" borderId="1" xfId="0" applyNumberFormat="1" applyFont="1" applyBorder="1" applyAlignment="1">
      <alignment horizontal="center" vertical="center" wrapText="1"/>
    </xf>
    <xf numFmtId="170" fontId="151" fillId="0" borderId="1" xfId="0" applyNumberFormat="1" applyFont="1" applyBorder="1" applyAlignment="1">
      <alignment horizontal="center" vertical="center" wrapText="1"/>
    </xf>
    <xf numFmtId="170" fontId="78" fillId="0" borderId="0" xfId="0" applyNumberFormat="1" applyFont="1"/>
    <xf numFmtId="170" fontId="152" fillId="0" borderId="0" xfId="0" applyNumberFormat="1" applyFont="1" applyAlignment="1">
      <alignment horizontal="center" vertical="center" wrapText="1"/>
    </xf>
    <xf numFmtId="170" fontId="151" fillId="0" borderId="0" xfId="0" applyNumberFormat="1" applyFont="1" applyAlignment="1">
      <alignment horizontal="center" vertical="center" wrapText="1"/>
    </xf>
    <xf numFmtId="170" fontId="9" fillId="2" borderId="0" xfId="0" applyNumberFormat="1" applyFont="1" applyFill="1" applyAlignment="1">
      <alignment horizontal="center" vertical="center" wrapText="1"/>
    </xf>
    <xf numFmtId="170" fontId="4" fillId="2" borderId="0" xfId="0" applyNumberFormat="1" applyFont="1" applyFill="1" applyAlignment="1">
      <alignment horizontal="center" vertical="center" wrapText="1"/>
    </xf>
    <xf numFmtId="0" fontId="3" fillId="0" borderId="62" xfId="0" applyFont="1" applyBorder="1" applyAlignment="1">
      <alignment vertical="center" wrapText="1"/>
    </xf>
    <xf numFmtId="170" fontId="152" fillId="0" borderId="62" xfId="0" applyNumberFormat="1" applyFont="1" applyBorder="1" applyAlignment="1">
      <alignment horizontal="center" vertical="center" wrapText="1"/>
    </xf>
    <xf numFmtId="172" fontId="3" fillId="0" borderId="62" xfId="0" applyNumberFormat="1" applyFont="1" applyBorder="1" applyAlignment="1">
      <alignment horizontal="right" vertical="center" wrapText="1"/>
    </xf>
    <xf numFmtId="170" fontId="3" fillId="0" borderId="62" xfId="0" applyNumberFormat="1" applyFont="1" applyBorder="1" applyAlignment="1">
      <alignment horizontal="center" vertical="center" wrapText="1"/>
    </xf>
    <xf numFmtId="49" fontId="152" fillId="0" borderId="62" xfId="0" applyNumberFormat="1" applyFont="1" applyBorder="1" applyAlignment="1">
      <alignment horizontal="center" vertical="center" wrapText="1"/>
    </xf>
    <xf numFmtId="0" fontId="4" fillId="2" borderId="60" xfId="0" applyFont="1" applyFill="1" applyBorder="1" applyAlignment="1">
      <alignment vertical="center" wrapText="1"/>
    </xf>
    <xf numFmtId="172" fontId="4" fillId="2" borderId="60" xfId="0" applyNumberFormat="1" applyFont="1" applyFill="1" applyBorder="1" applyAlignment="1">
      <alignment vertical="center" wrapText="1"/>
    </xf>
    <xf numFmtId="3" fontId="4" fillId="2" borderId="60" xfId="0" applyNumberFormat="1" applyFont="1" applyFill="1" applyBorder="1" applyAlignment="1">
      <alignment horizontal="center" vertical="center" wrapText="1"/>
    </xf>
    <xf numFmtId="0" fontId="9" fillId="2" borderId="60" xfId="0" applyFont="1" applyFill="1" applyBorder="1" applyAlignment="1">
      <alignment horizontal="center" vertical="center" wrapText="1"/>
    </xf>
    <xf numFmtId="172" fontId="4" fillId="2" borderId="61" xfId="0" applyNumberFormat="1" applyFont="1" applyFill="1" applyBorder="1" applyAlignment="1">
      <alignment vertical="center" wrapText="1"/>
    </xf>
    <xf numFmtId="0" fontId="4" fillId="2" borderId="6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3" fontId="4" fillId="2" borderId="0" xfId="0" applyNumberFormat="1" applyFont="1" applyFill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right" vertical="center"/>
    </xf>
    <xf numFmtId="184" fontId="4" fillId="2" borderId="18" xfId="0" applyNumberFormat="1" applyFont="1" applyFill="1" applyBorder="1" applyAlignment="1">
      <alignment horizontal="right" vertical="center"/>
    </xf>
    <xf numFmtId="0" fontId="4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right" vertical="center"/>
    </xf>
    <xf numFmtId="184" fontId="3" fillId="0" borderId="18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169" fontId="8" fillId="0" borderId="1" xfId="0" applyNumberFormat="1" applyFont="1" applyBorder="1" applyAlignment="1">
      <alignment vertical="center"/>
    </xf>
    <xf numFmtId="0" fontId="4" fillId="62" borderId="18" xfId="0" applyFont="1" applyFill="1" applyBorder="1" applyAlignment="1">
      <alignment horizontal="center" vertical="center"/>
    </xf>
    <xf numFmtId="0" fontId="13" fillId="62" borderId="18" xfId="0" applyFont="1" applyFill="1" applyBorder="1" applyAlignment="1">
      <alignment horizontal="right"/>
    </xf>
    <xf numFmtId="166" fontId="4" fillId="62" borderId="18" xfId="0" applyNumberFormat="1" applyFont="1" applyFill="1" applyBorder="1" applyAlignment="1">
      <alignment horizontal="right"/>
    </xf>
    <xf numFmtId="184" fontId="4" fillId="0" borderId="18" xfId="0" applyNumberFormat="1" applyFont="1" applyBorder="1" applyAlignment="1">
      <alignment horizontal="right" vertical="center"/>
    </xf>
    <xf numFmtId="0" fontId="3" fillId="2" borderId="0" xfId="0" applyFont="1" applyFill="1" applyAlignment="1">
      <alignment horizontal="center" vertical="center" wrapText="1"/>
    </xf>
    <xf numFmtId="0" fontId="72" fillId="2" borderId="0" xfId="0" applyFont="1" applyFill="1" applyAlignment="1">
      <alignment horizontal="center" vertical="center"/>
    </xf>
    <xf numFmtId="0" fontId="7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72" fontId="17" fillId="0" borderId="2" xfId="0" applyNumberFormat="1" applyFont="1" applyBorder="1" applyAlignment="1">
      <alignment horizontal="right" vertical="center" wrapText="1"/>
    </xf>
    <xf numFmtId="172" fontId="17" fillId="0" borderId="1" xfId="0" applyNumberFormat="1" applyFont="1" applyBorder="1" applyAlignment="1">
      <alignment horizontal="right" vertical="center" wrapText="1"/>
    </xf>
    <xf numFmtId="172" fontId="18" fillId="2" borderId="2" xfId="0" applyNumberFormat="1" applyFont="1" applyFill="1" applyBorder="1" applyAlignment="1">
      <alignment horizontal="right" vertical="center" wrapText="1"/>
    </xf>
    <xf numFmtId="0" fontId="18" fillId="2" borderId="59" xfId="0" applyFont="1" applyFill="1" applyBorder="1" applyAlignment="1">
      <alignment horizontal="left" vertical="center" wrapText="1" indent="1"/>
    </xf>
    <xf numFmtId="0" fontId="18" fillId="2" borderId="61" xfId="0" applyFont="1" applyFill="1" applyBorder="1" applyAlignment="1">
      <alignment horizontal="right" vertical="center" wrapText="1"/>
    </xf>
    <xf numFmtId="0" fontId="18" fillId="2" borderId="2" xfId="0" applyFont="1" applyFill="1" applyBorder="1" applyAlignment="1">
      <alignment horizontal="right" vertical="center" wrapText="1"/>
    </xf>
    <xf numFmtId="0" fontId="155" fillId="2" borderId="18" xfId="0" applyFont="1" applyFill="1" applyBorder="1" applyAlignment="1">
      <alignment horizontal="center" vertical="center" wrapText="1"/>
    </xf>
    <xf numFmtId="0" fontId="155" fillId="2" borderId="18" xfId="0" applyFont="1" applyFill="1" applyBorder="1" applyAlignment="1">
      <alignment horizontal="left" vertical="center"/>
    </xf>
    <xf numFmtId="0" fontId="12" fillId="3" borderId="0" xfId="0" applyFont="1" applyFill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2" fillId="3" borderId="0" xfId="0" applyFont="1" applyFill="1" applyAlignment="1">
      <alignment horizontal="center"/>
    </xf>
    <xf numFmtId="0" fontId="4" fillId="0" borderId="2" xfId="0" applyFont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12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4" fillId="3" borderId="0" xfId="0" applyFont="1" applyFill="1" applyAlignment="1">
      <alignment horizontal="center" wrapText="1"/>
    </xf>
    <xf numFmtId="0" fontId="72" fillId="2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43" xfId="0" applyFont="1" applyFill="1" applyBorder="1" applyAlignment="1">
      <alignment horizontal="center" vertical="center" wrapText="1"/>
    </xf>
    <xf numFmtId="166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58" borderId="0" xfId="0" applyFont="1" applyFill="1" applyAlignment="1">
      <alignment horizontal="center"/>
    </xf>
    <xf numFmtId="166" fontId="12" fillId="58" borderId="0" xfId="0" applyNumberFormat="1" applyFont="1" applyFill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79" fillId="0" borderId="3" xfId="2" applyFont="1" applyBorder="1" applyAlignment="1">
      <alignment horizontal="center" vertical="top" wrapText="1"/>
    </xf>
    <xf numFmtId="169" fontId="4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0" fontId="146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146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669">
    <cellStyle name="20% - Accent1" xfId="390" builtinId="30" customBuiltin="1"/>
    <cellStyle name="20% - Accent1 2" xfId="8" xr:uid="{00000000-0005-0000-0000-000006000000}"/>
    <cellStyle name="20% - Accent1 2 2" xfId="417" xr:uid="{00000000-0005-0000-0000-000007000000}"/>
    <cellStyle name="20% - Accent1 2 3" xfId="416" xr:uid="{00000000-0005-0000-0000-000008000000}"/>
    <cellStyle name="20% - Accent1 3" xfId="9" xr:uid="{00000000-0005-0000-0000-000009000000}"/>
    <cellStyle name="20% - Accent1 3 2" xfId="418" xr:uid="{00000000-0005-0000-0000-00000A000000}"/>
    <cellStyle name="20% - Accent1 4" xfId="419" xr:uid="{00000000-0005-0000-0000-00000B000000}"/>
    <cellStyle name="20% - Accent1 5" xfId="420" xr:uid="{00000000-0005-0000-0000-00000C000000}"/>
    <cellStyle name="20% - Accent1 6" xfId="421" xr:uid="{00000000-0005-0000-0000-00000D000000}"/>
    <cellStyle name="20% - Accent1 6 2" xfId="606" xr:uid="{00000000-0005-0000-0000-00000E000000}"/>
    <cellStyle name="20% - Accent1 7" xfId="607" xr:uid="{00000000-0005-0000-0000-00000F000000}"/>
    <cellStyle name="20% - Accent2" xfId="394" builtinId="34" customBuiltin="1"/>
    <cellStyle name="20% - Accent2 2" xfId="10" xr:uid="{00000000-0005-0000-0000-000010000000}"/>
    <cellStyle name="20% - Accent2 2 2" xfId="423" xr:uid="{00000000-0005-0000-0000-000011000000}"/>
    <cellStyle name="20% - Accent2 2 3" xfId="422" xr:uid="{00000000-0005-0000-0000-000012000000}"/>
    <cellStyle name="20% - Accent2 3" xfId="11" xr:uid="{00000000-0005-0000-0000-000013000000}"/>
    <cellStyle name="20% - Accent2 3 2" xfId="424" xr:uid="{00000000-0005-0000-0000-000014000000}"/>
    <cellStyle name="20% - Accent2 4" xfId="425" xr:uid="{00000000-0005-0000-0000-000015000000}"/>
    <cellStyle name="20% - Accent2 5" xfId="426" xr:uid="{00000000-0005-0000-0000-000016000000}"/>
    <cellStyle name="20% - Accent2 6" xfId="427" xr:uid="{00000000-0005-0000-0000-000017000000}"/>
    <cellStyle name="20% - Accent2 6 2" xfId="608" xr:uid="{00000000-0005-0000-0000-000018000000}"/>
    <cellStyle name="20% - Accent2 7" xfId="609" xr:uid="{00000000-0005-0000-0000-000019000000}"/>
    <cellStyle name="20% - Accent3" xfId="398" builtinId="38" customBuiltin="1"/>
    <cellStyle name="20% - Accent3 2" xfId="12" xr:uid="{00000000-0005-0000-0000-00001A000000}"/>
    <cellStyle name="20% - Accent3 2 2" xfId="429" xr:uid="{00000000-0005-0000-0000-00001B000000}"/>
    <cellStyle name="20% - Accent3 2 3" xfId="428" xr:uid="{00000000-0005-0000-0000-00001C000000}"/>
    <cellStyle name="20% - Accent3 3" xfId="13" xr:uid="{00000000-0005-0000-0000-00001D000000}"/>
    <cellStyle name="20% - Accent3 3 2" xfId="430" xr:uid="{00000000-0005-0000-0000-00001E000000}"/>
    <cellStyle name="20% - Accent3 4" xfId="431" xr:uid="{00000000-0005-0000-0000-00001F000000}"/>
    <cellStyle name="20% - Accent3 5" xfId="432" xr:uid="{00000000-0005-0000-0000-000020000000}"/>
    <cellStyle name="20% - Accent3 6" xfId="433" xr:uid="{00000000-0005-0000-0000-000021000000}"/>
    <cellStyle name="20% - Accent3 6 2" xfId="610" xr:uid="{00000000-0005-0000-0000-000022000000}"/>
    <cellStyle name="20% - Accent3 7" xfId="611" xr:uid="{00000000-0005-0000-0000-000023000000}"/>
    <cellStyle name="20% - Accent4" xfId="402" builtinId="42" customBuiltin="1"/>
    <cellStyle name="20% - Accent4 2" xfId="14" xr:uid="{00000000-0005-0000-0000-000024000000}"/>
    <cellStyle name="20% - Accent4 2 2" xfId="435" xr:uid="{00000000-0005-0000-0000-000025000000}"/>
    <cellStyle name="20% - Accent4 2 3" xfId="434" xr:uid="{00000000-0005-0000-0000-000026000000}"/>
    <cellStyle name="20% - Accent4 3" xfId="15" xr:uid="{00000000-0005-0000-0000-000027000000}"/>
    <cellStyle name="20% - Accent4 3 2" xfId="436" xr:uid="{00000000-0005-0000-0000-000028000000}"/>
    <cellStyle name="20% - Accent4 4" xfId="437" xr:uid="{00000000-0005-0000-0000-000029000000}"/>
    <cellStyle name="20% - Accent4 5" xfId="438" xr:uid="{00000000-0005-0000-0000-00002A000000}"/>
    <cellStyle name="20% - Accent4 6" xfId="439" xr:uid="{00000000-0005-0000-0000-00002B000000}"/>
    <cellStyle name="20% - Accent4 6 2" xfId="612" xr:uid="{00000000-0005-0000-0000-00002C000000}"/>
    <cellStyle name="20% - Accent4 7" xfId="613" xr:uid="{00000000-0005-0000-0000-00002D000000}"/>
    <cellStyle name="20% - Accent5" xfId="406" builtinId="46" customBuiltin="1"/>
    <cellStyle name="20% - Accent5 2" xfId="440" xr:uid="{00000000-0005-0000-0000-00002E000000}"/>
    <cellStyle name="20% - Accent5 2 2" xfId="441" xr:uid="{00000000-0005-0000-0000-00002F000000}"/>
    <cellStyle name="20% - Accent5 2 3" xfId="614" xr:uid="{00000000-0005-0000-0000-000030000000}"/>
    <cellStyle name="20% - Accent5 3" xfId="442" xr:uid="{00000000-0005-0000-0000-000031000000}"/>
    <cellStyle name="20% - Accent5 3 2" xfId="615" xr:uid="{00000000-0005-0000-0000-000032000000}"/>
    <cellStyle name="20% - Accent5 4" xfId="443" xr:uid="{00000000-0005-0000-0000-000033000000}"/>
    <cellStyle name="20% - Accent5 5" xfId="444" xr:uid="{00000000-0005-0000-0000-000034000000}"/>
    <cellStyle name="20% - Accent5 6" xfId="445" xr:uid="{00000000-0005-0000-0000-000035000000}"/>
    <cellStyle name="20% - Accent5 6 2" xfId="616" xr:uid="{00000000-0005-0000-0000-000036000000}"/>
    <cellStyle name="20% - Accent5 7" xfId="617" xr:uid="{00000000-0005-0000-0000-000037000000}"/>
    <cellStyle name="20% - Accent6" xfId="410" builtinId="50" customBuiltin="1"/>
    <cellStyle name="20% - Accent6 2" xfId="16" xr:uid="{00000000-0005-0000-0000-000038000000}"/>
    <cellStyle name="20% - Accent6 2 2" xfId="447" xr:uid="{00000000-0005-0000-0000-000039000000}"/>
    <cellStyle name="20% - Accent6 2 3" xfId="446" xr:uid="{00000000-0005-0000-0000-00003A000000}"/>
    <cellStyle name="20% - Accent6 3" xfId="17" xr:uid="{00000000-0005-0000-0000-00003B000000}"/>
    <cellStyle name="20% - Accent6 3 2" xfId="448" xr:uid="{00000000-0005-0000-0000-00003C000000}"/>
    <cellStyle name="20% - Accent6 4" xfId="449" xr:uid="{00000000-0005-0000-0000-00003D000000}"/>
    <cellStyle name="20% - Accent6 5" xfId="450" xr:uid="{00000000-0005-0000-0000-00003E000000}"/>
    <cellStyle name="20% - Accent6 6" xfId="451" xr:uid="{00000000-0005-0000-0000-00003F000000}"/>
    <cellStyle name="20% - Accent6 6 2" xfId="618" xr:uid="{00000000-0005-0000-0000-000040000000}"/>
    <cellStyle name="20% - Accent6 7" xfId="619" xr:uid="{00000000-0005-0000-0000-000041000000}"/>
    <cellStyle name="40% - Accent1" xfId="391" builtinId="31" customBuiltin="1"/>
    <cellStyle name="40% - Accent1 2" xfId="18" xr:uid="{00000000-0005-0000-0000-000048000000}"/>
    <cellStyle name="40% - Accent1 2 2" xfId="453" xr:uid="{00000000-0005-0000-0000-000049000000}"/>
    <cellStyle name="40% - Accent1 2 3" xfId="452" xr:uid="{00000000-0005-0000-0000-00004A000000}"/>
    <cellStyle name="40% - Accent1 3" xfId="19" xr:uid="{00000000-0005-0000-0000-00004B000000}"/>
    <cellStyle name="40% - Accent1 3 2" xfId="454" xr:uid="{00000000-0005-0000-0000-00004C000000}"/>
    <cellStyle name="40% - Accent1 4" xfId="455" xr:uid="{00000000-0005-0000-0000-00004D000000}"/>
    <cellStyle name="40% - Accent1 5" xfId="456" xr:uid="{00000000-0005-0000-0000-00004E000000}"/>
    <cellStyle name="40% - Accent1 6" xfId="457" xr:uid="{00000000-0005-0000-0000-00004F000000}"/>
    <cellStyle name="40% - Accent1 6 2" xfId="620" xr:uid="{00000000-0005-0000-0000-000050000000}"/>
    <cellStyle name="40% - Accent1 7" xfId="621" xr:uid="{00000000-0005-0000-0000-000051000000}"/>
    <cellStyle name="40% - Accent2" xfId="395" builtinId="35" customBuiltin="1"/>
    <cellStyle name="40% - Accent2 2" xfId="458" xr:uid="{00000000-0005-0000-0000-000052000000}"/>
    <cellStyle name="40% - Accent2 2 2" xfId="459" xr:uid="{00000000-0005-0000-0000-000053000000}"/>
    <cellStyle name="40% - Accent2 2 3" xfId="622" xr:uid="{00000000-0005-0000-0000-000054000000}"/>
    <cellStyle name="40% - Accent2 3" xfId="460" xr:uid="{00000000-0005-0000-0000-000055000000}"/>
    <cellStyle name="40% - Accent2 3 2" xfId="623" xr:uid="{00000000-0005-0000-0000-000056000000}"/>
    <cellStyle name="40% - Accent2 4" xfId="461" xr:uid="{00000000-0005-0000-0000-000057000000}"/>
    <cellStyle name="40% - Accent2 5" xfId="462" xr:uid="{00000000-0005-0000-0000-000058000000}"/>
    <cellStyle name="40% - Accent2 6" xfId="463" xr:uid="{00000000-0005-0000-0000-000059000000}"/>
    <cellStyle name="40% - Accent2 6 2" xfId="624" xr:uid="{00000000-0005-0000-0000-00005A000000}"/>
    <cellStyle name="40% - Accent2 7" xfId="625" xr:uid="{00000000-0005-0000-0000-00005B000000}"/>
    <cellStyle name="40% - Accent3" xfId="399" builtinId="39" customBuiltin="1"/>
    <cellStyle name="40% - Accent3 2" xfId="20" xr:uid="{00000000-0005-0000-0000-00005C000000}"/>
    <cellStyle name="40% - Accent3 2 2" xfId="465" xr:uid="{00000000-0005-0000-0000-00005D000000}"/>
    <cellStyle name="40% - Accent3 2 3" xfId="464" xr:uid="{00000000-0005-0000-0000-00005E000000}"/>
    <cellStyle name="40% - Accent3 3" xfId="21" xr:uid="{00000000-0005-0000-0000-00005F000000}"/>
    <cellStyle name="40% - Accent3 3 2" xfId="466" xr:uid="{00000000-0005-0000-0000-000060000000}"/>
    <cellStyle name="40% - Accent3 4" xfId="467" xr:uid="{00000000-0005-0000-0000-000061000000}"/>
    <cellStyle name="40% - Accent3 5" xfId="468" xr:uid="{00000000-0005-0000-0000-000062000000}"/>
    <cellStyle name="40% - Accent3 6" xfId="469" xr:uid="{00000000-0005-0000-0000-000063000000}"/>
    <cellStyle name="40% - Accent3 6 2" xfId="626" xr:uid="{00000000-0005-0000-0000-000064000000}"/>
    <cellStyle name="40% - Accent3 7" xfId="627" xr:uid="{00000000-0005-0000-0000-000065000000}"/>
    <cellStyle name="40% - Accent4" xfId="403" builtinId="43" customBuiltin="1"/>
    <cellStyle name="40% - Accent4 2" xfId="22" xr:uid="{00000000-0005-0000-0000-000066000000}"/>
    <cellStyle name="40% - Accent4 2 2" xfId="471" xr:uid="{00000000-0005-0000-0000-000067000000}"/>
    <cellStyle name="40% - Accent4 2 3" xfId="470" xr:uid="{00000000-0005-0000-0000-000068000000}"/>
    <cellStyle name="40% - Accent4 3" xfId="23" xr:uid="{00000000-0005-0000-0000-000069000000}"/>
    <cellStyle name="40% - Accent4 3 2" xfId="472" xr:uid="{00000000-0005-0000-0000-00006A000000}"/>
    <cellStyle name="40% - Accent4 4" xfId="473" xr:uid="{00000000-0005-0000-0000-00006B000000}"/>
    <cellStyle name="40% - Accent4 5" xfId="474" xr:uid="{00000000-0005-0000-0000-00006C000000}"/>
    <cellStyle name="40% - Accent4 6" xfId="475" xr:uid="{00000000-0005-0000-0000-00006D000000}"/>
    <cellStyle name="40% - Accent4 6 2" xfId="628" xr:uid="{00000000-0005-0000-0000-00006E000000}"/>
    <cellStyle name="40% - Accent4 7" xfId="629" xr:uid="{00000000-0005-0000-0000-00006F000000}"/>
    <cellStyle name="40% - Accent5" xfId="407" builtinId="47" customBuiltin="1"/>
    <cellStyle name="40% - Accent5 2" xfId="24" xr:uid="{00000000-0005-0000-0000-000070000000}"/>
    <cellStyle name="40% - Accent5 2 2" xfId="477" xr:uid="{00000000-0005-0000-0000-000071000000}"/>
    <cellStyle name="40% - Accent5 2 3" xfId="476" xr:uid="{00000000-0005-0000-0000-000072000000}"/>
    <cellStyle name="40% - Accent5 3" xfId="25" xr:uid="{00000000-0005-0000-0000-000073000000}"/>
    <cellStyle name="40% - Accent5 3 2" xfId="478" xr:uid="{00000000-0005-0000-0000-000074000000}"/>
    <cellStyle name="40% - Accent5 4" xfId="479" xr:uid="{00000000-0005-0000-0000-000075000000}"/>
    <cellStyle name="40% - Accent5 5" xfId="480" xr:uid="{00000000-0005-0000-0000-000076000000}"/>
    <cellStyle name="40% - Accent5 6" xfId="481" xr:uid="{00000000-0005-0000-0000-000077000000}"/>
    <cellStyle name="40% - Accent5 6 2" xfId="630" xr:uid="{00000000-0005-0000-0000-000078000000}"/>
    <cellStyle name="40% - Accent5 7" xfId="631" xr:uid="{00000000-0005-0000-0000-000079000000}"/>
    <cellStyle name="40% - Accent6" xfId="411" builtinId="51" customBuiltin="1"/>
    <cellStyle name="40% - Accent6 2" xfId="26" xr:uid="{00000000-0005-0000-0000-00007A000000}"/>
    <cellStyle name="40% - Accent6 2 2" xfId="483" xr:uid="{00000000-0005-0000-0000-00007B000000}"/>
    <cellStyle name="40% - Accent6 2 3" xfId="482" xr:uid="{00000000-0005-0000-0000-00007C000000}"/>
    <cellStyle name="40% - Accent6 3" xfId="27" xr:uid="{00000000-0005-0000-0000-00007D000000}"/>
    <cellStyle name="40% - Accent6 3 2" xfId="484" xr:uid="{00000000-0005-0000-0000-00007E000000}"/>
    <cellStyle name="40% - Accent6 4" xfId="485" xr:uid="{00000000-0005-0000-0000-00007F000000}"/>
    <cellStyle name="40% - Accent6 5" xfId="486" xr:uid="{00000000-0005-0000-0000-000080000000}"/>
    <cellStyle name="40% - Accent6 6" xfId="487" xr:uid="{00000000-0005-0000-0000-000081000000}"/>
    <cellStyle name="40% - Accent6 6 2" xfId="632" xr:uid="{00000000-0005-0000-0000-000082000000}"/>
    <cellStyle name="40% - Accent6 7" xfId="633" xr:uid="{00000000-0005-0000-0000-000083000000}"/>
    <cellStyle name="60% - Accent1" xfId="392" builtinId="32" customBuiltin="1"/>
    <cellStyle name="60% - Accent1 2" xfId="28" xr:uid="{00000000-0005-0000-0000-00008A000000}"/>
    <cellStyle name="60% - Accent1 2 2" xfId="488" xr:uid="{00000000-0005-0000-0000-00008B000000}"/>
    <cellStyle name="60% - Accent1 3" xfId="29" xr:uid="{00000000-0005-0000-0000-00008C000000}"/>
    <cellStyle name="60% - Accent2" xfId="396" builtinId="36" customBuiltin="1"/>
    <cellStyle name="60% - Accent2 2" xfId="30" xr:uid="{00000000-0005-0000-0000-00008D000000}"/>
    <cellStyle name="60% - Accent2 2 2" xfId="489" xr:uid="{00000000-0005-0000-0000-00008E000000}"/>
    <cellStyle name="60% - Accent2 3" xfId="31" xr:uid="{00000000-0005-0000-0000-00008F000000}"/>
    <cellStyle name="60% - Accent3" xfId="400" builtinId="40" customBuiltin="1"/>
    <cellStyle name="60% - Accent3 2" xfId="32" xr:uid="{00000000-0005-0000-0000-000090000000}"/>
    <cellStyle name="60% - Accent3 2 2" xfId="490" xr:uid="{00000000-0005-0000-0000-000091000000}"/>
    <cellStyle name="60% - Accent3 3" xfId="33" xr:uid="{00000000-0005-0000-0000-000092000000}"/>
    <cellStyle name="60% - Accent4" xfId="404" builtinId="44" customBuiltin="1"/>
    <cellStyle name="60% - Accent4 2" xfId="34" xr:uid="{00000000-0005-0000-0000-000093000000}"/>
    <cellStyle name="60% - Accent4 2 2" xfId="491" xr:uid="{00000000-0005-0000-0000-000094000000}"/>
    <cellStyle name="60% - Accent4 3" xfId="35" xr:uid="{00000000-0005-0000-0000-000095000000}"/>
    <cellStyle name="60% - Accent5" xfId="408" builtinId="48" customBuiltin="1"/>
    <cellStyle name="60% - Accent5 2" xfId="36" xr:uid="{00000000-0005-0000-0000-000096000000}"/>
    <cellStyle name="60% - Accent5 2 2" xfId="492" xr:uid="{00000000-0005-0000-0000-000097000000}"/>
    <cellStyle name="60% - Accent5 3" xfId="37" xr:uid="{00000000-0005-0000-0000-000098000000}"/>
    <cellStyle name="60% - Accent6" xfId="412" builtinId="52" customBuiltin="1"/>
    <cellStyle name="60% - Accent6 2" xfId="38" xr:uid="{00000000-0005-0000-0000-000099000000}"/>
    <cellStyle name="60% - Accent6 2 2" xfId="493" xr:uid="{00000000-0005-0000-0000-00009A000000}"/>
    <cellStyle name="60% - Accent6 3" xfId="39" xr:uid="{00000000-0005-0000-0000-00009B000000}"/>
    <cellStyle name="Accent1" xfId="389" builtinId="29" customBuiltin="1"/>
    <cellStyle name="Accent1 2" xfId="40" xr:uid="{00000000-0005-0000-0000-00009C000000}"/>
    <cellStyle name="Accent1 2 2" xfId="494" xr:uid="{00000000-0005-0000-0000-00009D000000}"/>
    <cellStyle name="Accent1 3" xfId="41" xr:uid="{00000000-0005-0000-0000-00009E000000}"/>
    <cellStyle name="Accent2" xfId="393" builtinId="33" customBuiltin="1"/>
    <cellStyle name="Accent2 2" xfId="42" xr:uid="{00000000-0005-0000-0000-00009F000000}"/>
    <cellStyle name="Accent2 2 2" xfId="495" xr:uid="{00000000-0005-0000-0000-0000A0000000}"/>
    <cellStyle name="Accent2 3" xfId="43" xr:uid="{00000000-0005-0000-0000-0000A1000000}"/>
    <cellStyle name="Accent3" xfId="397" builtinId="37" customBuiltin="1"/>
    <cellStyle name="Accent3 2" xfId="44" xr:uid="{00000000-0005-0000-0000-0000A2000000}"/>
    <cellStyle name="Accent3 2 2" xfId="496" xr:uid="{00000000-0005-0000-0000-0000A3000000}"/>
    <cellStyle name="Accent3 3" xfId="45" xr:uid="{00000000-0005-0000-0000-0000A4000000}"/>
    <cellStyle name="Accent4" xfId="401" builtinId="41" customBuiltin="1"/>
    <cellStyle name="Accent4 2" xfId="46" xr:uid="{00000000-0005-0000-0000-0000A5000000}"/>
    <cellStyle name="Accent4 2 2" xfId="497" xr:uid="{00000000-0005-0000-0000-0000A6000000}"/>
    <cellStyle name="Accent4 3" xfId="47" xr:uid="{00000000-0005-0000-0000-0000A7000000}"/>
    <cellStyle name="Accent5" xfId="405" builtinId="45" customBuiltin="1"/>
    <cellStyle name="Accent5 2" xfId="498" xr:uid="{00000000-0005-0000-0000-0000A8000000}"/>
    <cellStyle name="Accent6" xfId="409" builtinId="49" customBuiltin="1"/>
    <cellStyle name="Accent6 2" xfId="48" xr:uid="{00000000-0005-0000-0000-0000A9000000}"/>
    <cellStyle name="Accent6 2 2" xfId="499" xr:uid="{00000000-0005-0000-0000-0000AA000000}"/>
    <cellStyle name="Accent6 3" xfId="49" xr:uid="{00000000-0005-0000-0000-0000AB000000}"/>
    <cellStyle name="Bad" xfId="378" builtinId="27" customBuiltin="1"/>
    <cellStyle name="Bad 2" xfId="500" xr:uid="{00000000-0005-0000-0000-0000B3000000}"/>
    <cellStyle name="Berekening 2" xfId="50" xr:uid="{00000000-0005-0000-0000-0000B5000000}"/>
    <cellStyle name="Berekening 2 10" xfId="51" xr:uid="{00000000-0005-0000-0000-0000B6000000}"/>
    <cellStyle name="Berekening 2 2" xfId="52" xr:uid="{00000000-0005-0000-0000-0000B7000000}"/>
    <cellStyle name="Berekening 2 3" xfId="53" xr:uid="{00000000-0005-0000-0000-0000B8000000}"/>
    <cellStyle name="Berekening 2 4" xfId="54" xr:uid="{00000000-0005-0000-0000-0000B9000000}"/>
    <cellStyle name="Berekening 2 5" xfId="55" xr:uid="{00000000-0005-0000-0000-0000BA000000}"/>
    <cellStyle name="Berekening 2 6" xfId="56" xr:uid="{00000000-0005-0000-0000-0000BB000000}"/>
    <cellStyle name="Berekening 2 7" xfId="57" xr:uid="{00000000-0005-0000-0000-0000BC000000}"/>
    <cellStyle name="Berekening 2 8" xfId="58" xr:uid="{00000000-0005-0000-0000-0000BD000000}"/>
    <cellStyle name="Berekening 2 9" xfId="59" xr:uid="{00000000-0005-0000-0000-0000BE000000}"/>
    <cellStyle name="Berekening 3" xfId="60" xr:uid="{00000000-0005-0000-0000-0000BF000000}"/>
    <cellStyle name="Berekening 3 10" xfId="61" xr:uid="{00000000-0005-0000-0000-0000C0000000}"/>
    <cellStyle name="Berekening 3 2" xfId="62" xr:uid="{00000000-0005-0000-0000-0000C1000000}"/>
    <cellStyle name="Berekening 3 3" xfId="63" xr:uid="{00000000-0005-0000-0000-0000C2000000}"/>
    <cellStyle name="Berekening 3 4" xfId="64" xr:uid="{00000000-0005-0000-0000-0000C3000000}"/>
    <cellStyle name="Berekening 3 5" xfId="65" xr:uid="{00000000-0005-0000-0000-0000C4000000}"/>
    <cellStyle name="Berekening 3 6" xfId="66" xr:uid="{00000000-0005-0000-0000-0000C5000000}"/>
    <cellStyle name="Berekening 3 7" xfId="67" xr:uid="{00000000-0005-0000-0000-0000C6000000}"/>
    <cellStyle name="Berekening 3 8" xfId="68" xr:uid="{00000000-0005-0000-0000-0000C7000000}"/>
    <cellStyle name="Berekening 3 9" xfId="69" xr:uid="{00000000-0005-0000-0000-0000C8000000}"/>
    <cellStyle name="Calculation" xfId="382" builtinId="22" customBuiltin="1"/>
    <cellStyle name="Calculation 2" xfId="501" xr:uid="{00000000-0005-0000-0000-0000C9000000}"/>
    <cellStyle name="Check Cell" xfId="384" builtinId="23" customBuiltin="1"/>
    <cellStyle name="Check Cell 2" xfId="502" xr:uid="{00000000-0005-0000-0000-0000CA000000}"/>
    <cellStyle name="Comma" xfId="658" builtinId="3"/>
    <cellStyle name="Comma 10" xfId="504" xr:uid="{00000000-0005-0000-0000-0000CB000000}"/>
    <cellStyle name="Comma 11" xfId="505" xr:uid="{00000000-0005-0000-0000-0000CC000000}"/>
    <cellStyle name="Comma 2" xfId="506" xr:uid="{00000000-0005-0000-0000-0000CD000000}"/>
    <cellStyle name="Comma 2 2" xfId="507" xr:uid="{00000000-0005-0000-0000-0000CE000000}"/>
    <cellStyle name="Comma 2 2 2" xfId="634" xr:uid="{00000000-0005-0000-0000-0000CF000000}"/>
    <cellStyle name="Comma 2 3" xfId="508" xr:uid="{00000000-0005-0000-0000-0000D0000000}"/>
    <cellStyle name="Comma 2 4" xfId="635" xr:uid="{00000000-0005-0000-0000-0000D1000000}"/>
    <cellStyle name="Comma 3" xfId="509" xr:uid="{00000000-0005-0000-0000-0000D2000000}"/>
    <cellStyle name="Comma 3 2" xfId="636" xr:uid="{00000000-0005-0000-0000-0000D3000000}"/>
    <cellStyle name="Comma 4" xfId="510" xr:uid="{00000000-0005-0000-0000-0000D4000000}"/>
    <cellStyle name="Comma 4 2" xfId="511" xr:uid="{00000000-0005-0000-0000-0000D5000000}"/>
    <cellStyle name="Comma 4 3" xfId="512" xr:uid="{00000000-0005-0000-0000-0000D6000000}"/>
    <cellStyle name="Comma 5" xfId="513" xr:uid="{00000000-0005-0000-0000-0000D7000000}"/>
    <cellStyle name="Comma 5 2" xfId="637" xr:uid="{00000000-0005-0000-0000-0000D8000000}"/>
    <cellStyle name="Comma 6" xfId="514" xr:uid="{00000000-0005-0000-0000-0000D9000000}"/>
    <cellStyle name="Comma 6 2" xfId="515" xr:uid="{00000000-0005-0000-0000-0000DA000000}"/>
    <cellStyle name="Comma 6 3" xfId="516" xr:uid="{00000000-0005-0000-0000-0000DB000000}"/>
    <cellStyle name="Comma 6 4" xfId="517" xr:uid="{00000000-0005-0000-0000-0000DC000000}"/>
    <cellStyle name="Comma 7" xfId="518" xr:uid="{00000000-0005-0000-0000-0000DD000000}"/>
    <cellStyle name="Comma 8" xfId="519" xr:uid="{00000000-0005-0000-0000-0000DE000000}"/>
    <cellStyle name="Comma 9" xfId="520" xr:uid="{00000000-0005-0000-0000-0000DF000000}"/>
    <cellStyle name="Dezimal [0] 2" xfId="413" xr:uid="{00000000-0005-0000-0000-0000E0000000}"/>
    <cellStyle name="Euro" xfId="70" xr:uid="{00000000-0005-0000-0000-0000E4000000}"/>
    <cellStyle name="Explanatory Text" xfId="387" builtinId="53" customBuiltin="1"/>
    <cellStyle name="Explanatory Text 2" xfId="521" xr:uid="{00000000-0005-0000-0000-0000E5000000}"/>
    <cellStyle name="Gekoppelde cel 2" xfId="71" xr:uid="{00000000-0005-0000-0000-0000E6000000}"/>
    <cellStyle name="Gekoppelde cel 2 10" xfId="72" xr:uid="{00000000-0005-0000-0000-0000E7000000}"/>
    <cellStyle name="Gekoppelde cel 2 2" xfId="73" xr:uid="{00000000-0005-0000-0000-0000E8000000}"/>
    <cellStyle name="Gekoppelde cel 2 3" xfId="74" xr:uid="{00000000-0005-0000-0000-0000E9000000}"/>
    <cellStyle name="Gekoppelde cel 2 4" xfId="75" xr:uid="{00000000-0005-0000-0000-0000EA000000}"/>
    <cellStyle name="Gekoppelde cel 2 5" xfId="76" xr:uid="{00000000-0005-0000-0000-0000EB000000}"/>
    <cellStyle name="Gekoppelde cel 2 6" xfId="77" xr:uid="{00000000-0005-0000-0000-0000EC000000}"/>
    <cellStyle name="Gekoppelde cel 2 7" xfId="78" xr:uid="{00000000-0005-0000-0000-0000ED000000}"/>
    <cellStyle name="Gekoppelde cel 2 8" xfId="79" xr:uid="{00000000-0005-0000-0000-0000EE000000}"/>
    <cellStyle name="Gekoppelde cel 2 9" xfId="80" xr:uid="{00000000-0005-0000-0000-0000EF000000}"/>
    <cellStyle name="Gekoppelde cel 3" xfId="81" xr:uid="{00000000-0005-0000-0000-0000F0000000}"/>
    <cellStyle name="Gekoppelde cel 3 10" xfId="82" xr:uid="{00000000-0005-0000-0000-0000F1000000}"/>
    <cellStyle name="Gekoppelde cel 3 2" xfId="83" xr:uid="{00000000-0005-0000-0000-0000F2000000}"/>
    <cellStyle name="Gekoppelde cel 3 3" xfId="84" xr:uid="{00000000-0005-0000-0000-0000F3000000}"/>
    <cellStyle name="Gekoppelde cel 3 4" xfId="85" xr:uid="{00000000-0005-0000-0000-0000F4000000}"/>
    <cellStyle name="Gekoppelde cel 3 5" xfId="86" xr:uid="{00000000-0005-0000-0000-0000F5000000}"/>
    <cellStyle name="Gekoppelde cel 3 6" xfId="87" xr:uid="{00000000-0005-0000-0000-0000F6000000}"/>
    <cellStyle name="Gekoppelde cel 3 7" xfId="88" xr:uid="{00000000-0005-0000-0000-0000F7000000}"/>
    <cellStyle name="Gekoppelde cel 3 8" xfId="89" xr:uid="{00000000-0005-0000-0000-0000F8000000}"/>
    <cellStyle name="Gekoppelde cel 3 9" xfId="90" xr:uid="{00000000-0005-0000-0000-0000F9000000}"/>
    <cellStyle name="Goed 2" xfId="91" xr:uid="{00000000-0005-0000-0000-0000FA000000}"/>
    <cellStyle name="Goed 3" xfId="92" xr:uid="{00000000-0005-0000-0000-0000FB000000}"/>
    <cellStyle name="Good" xfId="377" builtinId="26" customBuiltin="1"/>
    <cellStyle name="Good 2" xfId="522" xr:uid="{00000000-0005-0000-0000-0000FC000000}"/>
    <cellStyle name="Header" xfId="93" xr:uid="{00000000-0005-0000-0000-0000FE000000}"/>
    <cellStyle name="Header 10" xfId="94" xr:uid="{00000000-0005-0000-0000-0000FF000000}"/>
    <cellStyle name="Header 11" xfId="95" xr:uid="{00000000-0005-0000-0000-000000010000}"/>
    <cellStyle name="Header 12" xfId="96" xr:uid="{00000000-0005-0000-0000-000001010000}"/>
    <cellStyle name="Header 13" xfId="97" xr:uid="{00000000-0005-0000-0000-000002010000}"/>
    <cellStyle name="Header 14" xfId="98" xr:uid="{00000000-0005-0000-0000-000003010000}"/>
    <cellStyle name="Header 15" xfId="99" xr:uid="{00000000-0005-0000-0000-000004010000}"/>
    <cellStyle name="Header 16" xfId="100" xr:uid="{00000000-0005-0000-0000-000005010000}"/>
    <cellStyle name="Header 17" xfId="101" xr:uid="{00000000-0005-0000-0000-000006010000}"/>
    <cellStyle name="Header 18" xfId="102" xr:uid="{00000000-0005-0000-0000-000007010000}"/>
    <cellStyle name="Header 19" xfId="103" xr:uid="{00000000-0005-0000-0000-000008010000}"/>
    <cellStyle name="Header 2" xfId="104" xr:uid="{00000000-0005-0000-0000-000009010000}"/>
    <cellStyle name="Header 2 2" xfId="105" xr:uid="{00000000-0005-0000-0000-00000A010000}"/>
    <cellStyle name="Header 20" xfId="106" xr:uid="{00000000-0005-0000-0000-00000B010000}"/>
    <cellStyle name="Header 21" xfId="107" xr:uid="{00000000-0005-0000-0000-00000C010000}"/>
    <cellStyle name="Header 22" xfId="108" xr:uid="{00000000-0005-0000-0000-00000D010000}"/>
    <cellStyle name="Header 23" xfId="109" xr:uid="{00000000-0005-0000-0000-00000E010000}"/>
    <cellStyle name="Header 24" xfId="110" xr:uid="{00000000-0005-0000-0000-00000F010000}"/>
    <cellStyle name="Header 3" xfId="111" xr:uid="{00000000-0005-0000-0000-000010010000}"/>
    <cellStyle name="Header 4" xfId="112" xr:uid="{00000000-0005-0000-0000-000011010000}"/>
    <cellStyle name="Header 5" xfId="113" xr:uid="{00000000-0005-0000-0000-000012010000}"/>
    <cellStyle name="Header 6" xfId="114" xr:uid="{00000000-0005-0000-0000-000013010000}"/>
    <cellStyle name="Header 7" xfId="115" xr:uid="{00000000-0005-0000-0000-000014010000}"/>
    <cellStyle name="Header 8" xfId="116" xr:uid="{00000000-0005-0000-0000-000015010000}"/>
    <cellStyle name="Header 9" xfId="117" xr:uid="{00000000-0005-0000-0000-000016010000}"/>
    <cellStyle name="Heading" xfId="523" xr:uid="{00000000-0005-0000-0000-000017010000}"/>
    <cellStyle name="Heading 1" xfId="373" builtinId="16" customBuiltin="1"/>
    <cellStyle name="Heading 1 2" xfId="524" xr:uid="{00000000-0005-0000-0000-000018010000}"/>
    <cellStyle name="Heading 2" xfId="374" builtinId="17" customBuiltin="1"/>
    <cellStyle name="Heading 2 2" xfId="525" xr:uid="{00000000-0005-0000-0000-000019010000}"/>
    <cellStyle name="Heading 3" xfId="375" builtinId="18" customBuiltin="1"/>
    <cellStyle name="Heading 3 2" xfId="526" xr:uid="{00000000-0005-0000-0000-00001A010000}"/>
    <cellStyle name="Heading 4" xfId="376" builtinId="19" customBuiltin="1"/>
    <cellStyle name="Heading 4 2" xfId="527" xr:uid="{00000000-0005-0000-0000-00001B010000}"/>
    <cellStyle name="Heading 5" xfId="528" xr:uid="{00000000-0005-0000-0000-00001C010000}"/>
    <cellStyle name="Heading 6" xfId="529" xr:uid="{00000000-0005-0000-0000-00001D010000}"/>
    <cellStyle name="Heading 7" xfId="530" xr:uid="{00000000-0005-0000-0000-00001E010000}"/>
    <cellStyle name="Heading1" xfId="531" xr:uid="{00000000-0005-0000-0000-00001F010000}"/>
    <cellStyle name="Heading1 2" xfId="532" xr:uid="{00000000-0005-0000-0000-000020010000}"/>
    <cellStyle name="Heading1 3" xfId="533" xr:uid="{00000000-0005-0000-0000-000021010000}"/>
    <cellStyle name="Heading1 4" xfId="534" xr:uid="{00000000-0005-0000-0000-000022010000}"/>
    <cellStyle name="Hyperlink" xfId="2" builtinId="8"/>
    <cellStyle name="Hyperlink 2" xfId="355" xr:uid="{00000000-0005-0000-0000-000023010000}"/>
    <cellStyle name="Hyperlink 2 2" xfId="537" xr:uid="{00000000-0005-0000-0000-000024010000}"/>
    <cellStyle name="Hyperlink 2 3" xfId="536" xr:uid="{00000000-0005-0000-0000-000025010000}"/>
    <cellStyle name="Hyperlink 3" xfId="538" xr:uid="{00000000-0005-0000-0000-000026010000}"/>
    <cellStyle name="Hyperlink 4" xfId="539" xr:uid="{00000000-0005-0000-0000-000027010000}"/>
    <cellStyle name="Hyperlink 4 2" xfId="540" xr:uid="{00000000-0005-0000-0000-000028010000}"/>
    <cellStyle name="Hyperlink 4 3" xfId="541" xr:uid="{00000000-0005-0000-0000-000029010000}"/>
    <cellStyle name="Hyperlink 5" xfId="542" xr:uid="{00000000-0005-0000-0000-00002A010000}"/>
    <cellStyle name="Input" xfId="380" builtinId="20" customBuiltin="1"/>
    <cellStyle name="Input 2" xfId="543" xr:uid="{00000000-0005-0000-0000-00002B010000}"/>
    <cellStyle name="Invoer 2" xfId="118" xr:uid="{00000000-0005-0000-0000-00002C010000}"/>
    <cellStyle name="Invoer 3" xfId="119" xr:uid="{00000000-0005-0000-0000-00002D010000}"/>
    <cellStyle name="Komma 2" xfId="503" xr:uid="{00000000-0005-0000-0000-00002F010000}"/>
    <cellStyle name="Komma 2 10" xfId="120" xr:uid="{00000000-0005-0000-0000-000030010000}"/>
    <cellStyle name="Komma 2 11" xfId="121" xr:uid="{00000000-0005-0000-0000-000031010000}"/>
    <cellStyle name="Komma 2 12" xfId="122" xr:uid="{00000000-0005-0000-0000-000032010000}"/>
    <cellStyle name="Komma 2 13" xfId="123" xr:uid="{00000000-0005-0000-0000-000033010000}"/>
    <cellStyle name="Komma 2 14" xfId="124" xr:uid="{00000000-0005-0000-0000-000034010000}"/>
    <cellStyle name="Komma 2 15" xfId="125" xr:uid="{00000000-0005-0000-0000-000035010000}"/>
    <cellStyle name="Komma 2 16" xfId="126" xr:uid="{00000000-0005-0000-0000-000036010000}"/>
    <cellStyle name="Komma 2 17" xfId="127" xr:uid="{00000000-0005-0000-0000-000037010000}"/>
    <cellStyle name="Komma 2 18" xfId="128" xr:uid="{00000000-0005-0000-0000-000038010000}"/>
    <cellStyle name="Komma 2 19" xfId="129" xr:uid="{00000000-0005-0000-0000-000039010000}"/>
    <cellStyle name="Komma 2 2" xfId="130" xr:uid="{00000000-0005-0000-0000-00003A010000}"/>
    <cellStyle name="Komma 2 20" xfId="131" xr:uid="{00000000-0005-0000-0000-00003B010000}"/>
    <cellStyle name="Komma 2 21" xfId="132" xr:uid="{00000000-0005-0000-0000-00003C010000}"/>
    <cellStyle name="Komma 2 22" xfId="133" xr:uid="{00000000-0005-0000-0000-00003D010000}"/>
    <cellStyle name="Komma 2 23" xfId="134" xr:uid="{00000000-0005-0000-0000-00003E010000}"/>
    <cellStyle name="Komma 2 3" xfId="135" xr:uid="{00000000-0005-0000-0000-00003F010000}"/>
    <cellStyle name="Komma 2 4" xfId="136" xr:uid="{00000000-0005-0000-0000-000040010000}"/>
    <cellStyle name="Komma 2 5" xfId="137" xr:uid="{00000000-0005-0000-0000-000041010000}"/>
    <cellStyle name="Komma 2 6" xfId="138" xr:uid="{00000000-0005-0000-0000-000042010000}"/>
    <cellStyle name="Komma 2 7" xfId="139" xr:uid="{00000000-0005-0000-0000-000043010000}"/>
    <cellStyle name="Komma 2 8" xfId="140" xr:uid="{00000000-0005-0000-0000-000044010000}"/>
    <cellStyle name="Komma 2 9" xfId="141" xr:uid="{00000000-0005-0000-0000-000045010000}"/>
    <cellStyle name="Komma 3" xfId="662" xr:uid="{00000000-0005-0000-0000-000046010000}"/>
    <cellStyle name="Kop 1 2" xfId="142" xr:uid="{00000000-0005-0000-0000-000047010000}"/>
    <cellStyle name="Kop 1 2 10" xfId="143" xr:uid="{00000000-0005-0000-0000-000048010000}"/>
    <cellStyle name="Kop 1 2 2" xfId="144" xr:uid="{00000000-0005-0000-0000-000049010000}"/>
    <cellStyle name="Kop 1 2 3" xfId="145" xr:uid="{00000000-0005-0000-0000-00004A010000}"/>
    <cellStyle name="Kop 1 2 4" xfId="146" xr:uid="{00000000-0005-0000-0000-00004B010000}"/>
    <cellStyle name="Kop 1 2 5" xfId="147" xr:uid="{00000000-0005-0000-0000-00004C010000}"/>
    <cellStyle name="Kop 1 2 6" xfId="148" xr:uid="{00000000-0005-0000-0000-00004D010000}"/>
    <cellStyle name="Kop 1 2 7" xfId="149" xr:uid="{00000000-0005-0000-0000-00004E010000}"/>
    <cellStyle name="Kop 1 2 8" xfId="150" xr:uid="{00000000-0005-0000-0000-00004F010000}"/>
    <cellStyle name="Kop 1 2 9" xfId="151" xr:uid="{00000000-0005-0000-0000-000050010000}"/>
    <cellStyle name="Kop 1 3" xfId="152" xr:uid="{00000000-0005-0000-0000-000051010000}"/>
    <cellStyle name="Kop 1 3 10" xfId="153" xr:uid="{00000000-0005-0000-0000-000052010000}"/>
    <cellStyle name="Kop 1 3 2" xfId="154" xr:uid="{00000000-0005-0000-0000-000053010000}"/>
    <cellStyle name="Kop 1 3 3" xfId="155" xr:uid="{00000000-0005-0000-0000-000054010000}"/>
    <cellStyle name="Kop 1 3 4" xfId="156" xr:uid="{00000000-0005-0000-0000-000055010000}"/>
    <cellStyle name="Kop 1 3 5" xfId="157" xr:uid="{00000000-0005-0000-0000-000056010000}"/>
    <cellStyle name="Kop 1 3 6" xfId="158" xr:uid="{00000000-0005-0000-0000-000057010000}"/>
    <cellStyle name="Kop 1 3 7" xfId="159" xr:uid="{00000000-0005-0000-0000-000058010000}"/>
    <cellStyle name="Kop 1 3 8" xfId="160" xr:uid="{00000000-0005-0000-0000-000059010000}"/>
    <cellStyle name="Kop 1 3 9" xfId="161" xr:uid="{00000000-0005-0000-0000-00005A010000}"/>
    <cellStyle name="Kop 2 2" xfId="162" xr:uid="{00000000-0005-0000-0000-00005B010000}"/>
    <cellStyle name="Kop 2 2 10" xfId="163" xr:uid="{00000000-0005-0000-0000-00005C010000}"/>
    <cellStyle name="Kop 2 2 2" xfId="164" xr:uid="{00000000-0005-0000-0000-00005D010000}"/>
    <cellStyle name="Kop 2 2 3" xfId="165" xr:uid="{00000000-0005-0000-0000-00005E010000}"/>
    <cellStyle name="Kop 2 2 4" xfId="166" xr:uid="{00000000-0005-0000-0000-00005F010000}"/>
    <cellStyle name="Kop 2 2 5" xfId="167" xr:uid="{00000000-0005-0000-0000-000060010000}"/>
    <cellStyle name="Kop 2 2 6" xfId="168" xr:uid="{00000000-0005-0000-0000-000061010000}"/>
    <cellStyle name="Kop 2 2 7" xfId="169" xr:uid="{00000000-0005-0000-0000-000062010000}"/>
    <cellStyle name="Kop 2 2 8" xfId="170" xr:uid="{00000000-0005-0000-0000-000063010000}"/>
    <cellStyle name="Kop 2 2 9" xfId="171" xr:uid="{00000000-0005-0000-0000-000064010000}"/>
    <cellStyle name="Kop 2 3" xfId="172" xr:uid="{00000000-0005-0000-0000-000065010000}"/>
    <cellStyle name="Kop 2 3 10" xfId="173" xr:uid="{00000000-0005-0000-0000-000066010000}"/>
    <cellStyle name="Kop 2 3 2" xfId="174" xr:uid="{00000000-0005-0000-0000-000067010000}"/>
    <cellStyle name="Kop 2 3 3" xfId="175" xr:uid="{00000000-0005-0000-0000-000068010000}"/>
    <cellStyle name="Kop 2 3 4" xfId="176" xr:uid="{00000000-0005-0000-0000-000069010000}"/>
    <cellStyle name="Kop 2 3 5" xfId="177" xr:uid="{00000000-0005-0000-0000-00006A010000}"/>
    <cellStyle name="Kop 2 3 6" xfId="178" xr:uid="{00000000-0005-0000-0000-00006B010000}"/>
    <cellStyle name="Kop 2 3 7" xfId="179" xr:uid="{00000000-0005-0000-0000-00006C010000}"/>
    <cellStyle name="Kop 2 3 8" xfId="180" xr:uid="{00000000-0005-0000-0000-00006D010000}"/>
    <cellStyle name="Kop 2 3 9" xfId="181" xr:uid="{00000000-0005-0000-0000-00006E010000}"/>
    <cellStyle name="Kop 3 2" xfId="182" xr:uid="{00000000-0005-0000-0000-00006F010000}"/>
    <cellStyle name="Kop 3 2 10" xfId="183" xr:uid="{00000000-0005-0000-0000-000070010000}"/>
    <cellStyle name="Kop 3 2 2" xfId="184" xr:uid="{00000000-0005-0000-0000-000071010000}"/>
    <cellStyle name="Kop 3 2 3" xfId="185" xr:uid="{00000000-0005-0000-0000-000072010000}"/>
    <cellStyle name="Kop 3 2 4" xfId="186" xr:uid="{00000000-0005-0000-0000-000073010000}"/>
    <cellStyle name="Kop 3 2 5" xfId="187" xr:uid="{00000000-0005-0000-0000-000074010000}"/>
    <cellStyle name="Kop 3 2 6" xfId="188" xr:uid="{00000000-0005-0000-0000-000075010000}"/>
    <cellStyle name="Kop 3 2 7" xfId="189" xr:uid="{00000000-0005-0000-0000-000076010000}"/>
    <cellStyle name="Kop 3 2 8" xfId="190" xr:uid="{00000000-0005-0000-0000-000077010000}"/>
    <cellStyle name="Kop 3 2 9" xfId="191" xr:uid="{00000000-0005-0000-0000-000078010000}"/>
    <cellStyle name="Kop 3 3" xfId="192" xr:uid="{00000000-0005-0000-0000-000079010000}"/>
    <cellStyle name="Kop 3 3 10" xfId="193" xr:uid="{00000000-0005-0000-0000-00007A010000}"/>
    <cellStyle name="Kop 3 3 2" xfId="194" xr:uid="{00000000-0005-0000-0000-00007B010000}"/>
    <cellStyle name="Kop 3 3 3" xfId="195" xr:uid="{00000000-0005-0000-0000-00007C010000}"/>
    <cellStyle name="Kop 3 3 4" xfId="196" xr:uid="{00000000-0005-0000-0000-00007D010000}"/>
    <cellStyle name="Kop 3 3 5" xfId="197" xr:uid="{00000000-0005-0000-0000-00007E010000}"/>
    <cellStyle name="Kop 3 3 6" xfId="198" xr:uid="{00000000-0005-0000-0000-00007F010000}"/>
    <cellStyle name="Kop 3 3 7" xfId="199" xr:uid="{00000000-0005-0000-0000-000080010000}"/>
    <cellStyle name="Kop 3 3 8" xfId="200" xr:uid="{00000000-0005-0000-0000-000081010000}"/>
    <cellStyle name="Kop 3 3 9" xfId="201" xr:uid="{00000000-0005-0000-0000-000082010000}"/>
    <cellStyle name="Kop 4 2" xfId="202" xr:uid="{00000000-0005-0000-0000-000083010000}"/>
    <cellStyle name="Kop 4 2 10" xfId="203" xr:uid="{00000000-0005-0000-0000-000084010000}"/>
    <cellStyle name="Kop 4 2 2" xfId="204" xr:uid="{00000000-0005-0000-0000-000085010000}"/>
    <cellStyle name="Kop 4 2 3" xfId="205" xr:uid="{00000000-0005-0000-0000-000086010000}"/>
    <cellStyle name="Kop 4 2 4" xfId="206" xr:uid="{00000000-0005-0000-0000-000087010000}"/>
    <cellStyle name="Kop 4 2 5" xfId="207" xr:uid="{00000000-0005-0000-0000-000088010000}"/>
    <cellStyle name="Kop 4 2 6" xfId="208" xr:uid="{00000000-0005-0000-0000-000089010000}"/>
    <cellStyle name="Kop 4 2 7" xfId="209" xr:uid="{00000000-0005-0000-0000-00008A010000}"/>
    <cellStyle name="Kop 4 2 8" xfId="210" xr:uid="{00000000-0005-0000-0000-00008B010000}"/>
    <cellStyle name="Kop 4 2 9" xfId="211" xr:uid="{00000000-0005-0000-0000-00008C010000}"/>
    <cellStyle name="Kop 4 3" xfId="212" xr:uid="{00000000-0005-0000-0000-00008D010000}"/>
    <cellStyle name="Kop 4 3 10" xfId="213" xr:uid="{00000000-0005-0000-0000-00008E010000}"/>
    <cellStyle name="Kop 4 3 2" xfId="214" xr:uid="{00000000-0005-0000-0000-00008F010000}"/>
    <cellStyle name="Kop 4 3 3" xfId="215" xr:uid="{00000000-0005-0000-0000-000090010000}"/>
    <cellStyle name="Kop 4 3 4" xfId="216" xr:uid="{00000000-0005-0000-0000-000091010000}"/>
    <cellStyle name="Kop 4 3 5" xfId="217" xr:uid="{00000000-0005-0000-0000-000092010000}"/>
    <cellStyle name="Kop 4 3 6" xfId="218" xr:uid="{00000000-0005-0000-0000-000093010000}"/>
    <cellStyle name="Kop 4 3 7" xfId="219" xr:uid="{00000000-0005-0000-0000-000094010000}"/>
    <cellStyle name="Kop 4 3 8" xfId="220" xr:uid="{00000000-0005-0000-0000-000095010000}"/>
    <cellStyle name="Kop 4 3 9" xfId="221" xr:uid="{00000000-0005-0000-0000-000096010000}"/>
    <cellStyle name="Link 2" xfId="535" xr:uid="{00000000-0005-0000-0000-000098010000}"/>
    <cellStyle name="Linked Cell" xfId="383" builtinId="24" customBuiltin="1"/>
    <cellStyle name="Linked Cell 2" xfId="544" xr:uid="{00000000-0005-0000-0000-000099010000}"/>
    <cellStyle name="Neutraal 2" xfId="222" xr:uid="{00000000-0005-0000-0000-00009A010000}"/>
    <cellStyle name="Neutraal 2 10" xfId="223" xr:uid="{00000000-0005-0000-0000-00009B010000}"/>
    <cellStyle name="Neutraal 2 2" xfId="224" xr:uid="{00000000-0005-0000-0000-00009C010000}"/>
    <cellStyle name="Neutraal 2 3" xfId="225" xr:uid="{00000000-0005-0000-0000-00009D010000}"/>
    <cellStyle name="Neutraal 2 4" xfId="226" xr:uid="{00000000-0005-0000-0000-00009E010000}"/>
    <cellStyle name="Neutraal 2 5" xfId="227" xr:uid="{00000000-0005-0000-0000-00009F010000}"/>
    <cellStyle name="Neutraal 2 6" xfId="228" xr:uid="{00000000-0005-0000-0000-0000A0010000}"/>
    <cellStyle name="Neutraal 2 7" xfId="229" xr:uid="{00000000-0005-0000-0000-0000A1010000}"/>
    <cellStyle name="Neutraal 2 8" xfId="230" xr:uid="{00000000-0005-0000-0000-0000A2010000}"/>
    <cellStyle name="Neutraal 2 9" xfId="231" xr:uid="{00000000-0005-0000-0000-0000A3010000}"/>
    <cellStyle name="Neutraal 3" xfId="232" xr:uid="{00000000-0005-0000-0000-0000A4010000}"/>
    <cellStyle name="Neutraal 3 10" xfId="233" xr:uid="{00000000-0005-0000-0000-0000A5010000}"/>
    <cellStyle name="Neutraal 3 2" xfId="234" xr:uid="{00000000-0005-0000-0000-0000A6010000}"/>
    <cellStyle name="Neutraal 3 3" xfId="235" xr:uid="{00000000-0005-0000-0000-0000A7010000}"/>
    <cellStyle name="Neutraal 3 4" xfId="236" xr:uid="{00000000-0005-0000-0000-0000A8010000}"/>
    <cellStyle name="Neutraal 3 5" xfId="237" xr:uid="{00000000-0005-0000-0000-0000A9010000}"/>
    <cellStyle name="Neutraal 3 6" xfId="238" xr:uid="{00000000-0005-0000-0000-0000AA010000}"/>
    <cellStyle name="Neutraal 3 7" xfId="239" xr:uid="{00000000-0005-0000-0000-0000AB010000}"/>
    <cellStyle name="Neutraal 3 8" xfId="240" xr:uid="{00000000-0005-0000-0000-0000AC010000}"/>
    <cellStyle name="Neutraal 3 9" xfId="241" xr:uid="{00000000-0005-0000-0000-0000AD010000}"/>
    <cellStyle name="Neutral" xfId="379" builtinId="28" customBuiltin="1"/>
    <cellStyle name="Neutral 2" xfId="357" xr:uid="{00000000-0005-0000-0000-0000AF010000}"/>
    <cellStyle name="Neutral 2 2" xfId="545" xr:uid="{00000000-0005-0000-0000-0000B0010000}"/>
    <cellStyle name="Normaali 2" xfId="351" xr:uid="{00000000-0005-0000-0000-0000B1010000}"/>
    <cellStyle name="Normal" xfId="0" builtinId="0"/>
    <cellStyle name="Normal 10" xfId="358" xr:uid="{00000000-0005-0000-0000-0000B2010000}"/>
    <cellStyle name="Normal 10 2" xfId="546" xr:uid="{00000000-0005-0000-0000-0000B3010000}"/>
    <cellStyle name="Normal 11" xfId="359" xr:uid="{00000000-0005-0000-0000-0000B4010000}"/>
    <cellStyle name="Normal 12" xfId="360" xr:uid="{00000000-0005-0000-0000-0000B5010000}"/>
    <cellStyle name="Normal 12 2" xfId="548" xr:uid="{00000000-0005-0000-0000-0000B6010000}"/>
    <cellStyle name="Normal 12 3" xfId="549" xr:uid="{00000000-0005-0000-0000-0000B7010000}"/>
    <cellStyle name="Normal 12 4" xfId="547" xr:uid="{00000000-0005-0000-0000-0000B8010000}"/>
    <cellStyle name="Normal 13" xfId="361" xr:uid="{00000000-0005-0000-0000-0000B9010000}"/>
    <cellStyle name="Normal 13 2" xfId="551" xr:uid="{00000000-0005-0000-0000-0000BA010000}"/>
    <cellStyle name="Normal 13 3" xfId="552" xr:uid="{00000000-0005-0000-0000-0000BB010000}"/>
    <cellStyle name="Normal 13 4" xfId="553" xr:uid="{00000000-0005-0000-0000-0000BC010000}"/>
    <cellStyle name="Normal 13 5" xfId="550" xr:uid="{00000000-0005-0000-0000-0000BD010000}"/>
    <cellStyle name="Normal 14" xfId="362" xr:uid="{00000000-0005-0000-0000-0000BE010000}"/>
    <cellStyle name="Normal 14 2" xfId="554" xr:uid="{00000000-0005-0000-0000-0000BF010000}"/>
    <cellStyle name="Normal 14 2 2" xfId="638" xr:uid="{00000000-0005-0000-0000-0000C0010000}"/>
    <cellStyle name="Normal 15" xfId="555" xr:uid="{00000000-0005-0000-0000-0000C1010000}"/>
    <cellStyle name="Normal 16" xfId="556" xr:uid="{00000000-0005-0000-0000-0000C2010000}"/>
    <cellStyle name="Normal 16 2" xfId="557" xr:uid="{00000000-0005-0000-0000-0000C3010000}"/>
    <cellStyle name="Normal 16 3" xfId="639" xr:uid="{00000000-0005-0000-0000-0000C4010000}"/>
    <cellStyle name="Normal 17" xfId="558" xr:uid="{00000000-0005-0000-0000-0000C5010000}"/>
    <cellStyle name="Normal 17 2" xfId="559" xr:uid="{00000000-0005-0000-0000-0000C6010000}"/>
    <cellStyle name="Normal 18" xfId="560" xr:uid="{00000000-0005-0000-0000-0000C7010000}"/>
    <cellStyle name="Normal 2" xfId="363" xr:uid="{00000000-0005-0000-0000-0000C8010000}"/>
    <cellStyle name="Normal 2 2" xfId="364" xr:uid="{00000000-0005-0000-0000-0000C9010000}"/>
    <cellStyle name="Normal 2 2 2" xfId="561" xr:uid="{00000000-0005-0000-0000-0000CA010000}"/>
    <cellStyle name="Normal 2 3" xfId="562" xr:uid="{00000000-0005-0000-0000-0000CB010000}"/>
    <cellStyle name="Normal 2 3 2" xfId="640" xr:uid="{00000000-0005-0000-0000-0000CC010000}"/>
    <cellStyle name="Normal 2 4" xfId="563" xr:uid="{00000000-0005-0000-0000-0000CD010000}"/>
    <cellStyle name="Normal 2 5" xfId="564" xr:uid="{00000000-0005-0000-0000-0000CE010000}"/>
    <cellStyle name="Normal 2 5 2" xfId="641" xr:uid="{00000000-0005-0000-0000-0000CF010000}"/>
    <cellStyle name="Normal 2 6" xfId="565" xr:uid="{00000000-0005-0000-0000-0000D0010000}"/>
    <cellStyle name="Normal 3" xfId="365" xr:uid="{00000000-0005-0000-0000-0000D1010000}"/>
    <cellStyle name="Normal 3 2" xfId="567" xr:uid="{00000000-0005-0000-0000-0000D2010000}"/>
    <cellStyle name="Normal 3 3" xfId="568" xr:uid="{00000000-0005-0000-0000-0000D3010000}"/>
    <cellStyle name="Normal 3 3 2" xfId="642" xr:uid="{00000000-0005-0000-0000-0000D4010000}"/>
    <cellStyle name="Normal 3 4" xfId="569" xr:uid="{00000000-0005-0000-0000-0000D5010000}"/>
    <cellStyle name="Normal 3 5" xfId="566" xr:uid="{00000000-0005-0000-0000-0000D6010000}"/>
    <cellStyle name="Normal 4" xfId="366" xr:uid="{00000000-0005-0000-0000-0000D7010000}"/>
    <cellStyle name="Normal 4 2" xfId="570" xr:uid="{00000000-0005-0000-0000-0000D8010000}"/>
    <cellStyle name="Normal 5" xfId="367" xr:uid="{00000000-0005-0000-0000-0000D9010000}"/>
    <cellStyle name="Normal 5 2" xfId="572" xr:uid="{00000000-0005-0000-0000-0000DA010000}"/>
    <cellStyle name="Normal 5 3" xfId="573" xr:uid="{00000000-0005-0000-0000-0000DB010000}"/>
    <cellStyle name="Normal 5 4" xfId="571" xr:uid="{00000000-0005-0000-0000-0000DC010000}"/>
    <cellStyle name="Normal 6" xfId="368" xr:uid="{00000000-0005-0000-0000-0000DD010000}"/>
    <cellStyle name="Normal 6 2" xfId="575" xr:uid="{00000000-0005-0000-0000-0000DE010000}"/>
    <cellStyle name="Normal 6 3" xfId="574" xr:uid="{00000000-0005-0000-0000-0000DF010000}"/>
    <cellStyle name="Normal 7" xfId="3" xr:uid="{00000000-0005-0000-0000-0000E0010000}"/>
    <cellStyle name="Normal 7 2" xfId="643" xr:uid="{00000000-0005-0000-0000-0000E1010000}"/>
    <cellStyle name="Normal 8" xfId="369" xr:uid="{00000000-0005-0000-0000-0000E2010000}"/>
    <cellStyle name="Normal 8 2" xfId="576" xr:uid="{00000000-0005-0000-0000-0000E3010000}"/>
    <cellStyle name="Normal 9" xfId="370" xr:uid="{00000000-0005-0000-0000-0000E4010000}"/>
    <cellStyle name="Normal 9 2" xfId="577" xr:uid="{00000000-0005-0000-0000-0000E5010000}"/>
    <cellStyle name="Note" xfId="386" builtinId="10" customBuiltin="1"/>
    <cellStyle name="Note 10" xfId="578" xr:uid="{00000000-0005-0000-0000-0000E6010000}"/>
    <cellStyle name="Note 10 2" xfId="644" xr:uid="{00000000-0005-0000-0000-0000E7010000}"/>
    <cellStyle name="Note 11" xfId="579" xr:uid="{00000000-0005-0000-0000-0000E8010000}"/>
    <cellStyle name="Note 11 2" xfId="645" xr:uid="{00000000-0005-0000-0000-0000E9010000}"/>
    <cellStyle name="Note 12" xfId="580" xr:uid="{00000000-0005-0000-0000-0000EA010000}"/>
    <cellStyle name="Note 13" xfId="581" xr:uid="{00000000-0005-0000-0000-0000EB010000}"/>
    <cellStyle name="Note 14" xfId="582" xr:uid="{00000000-0005-0000-0000-0000EC010000}"/>
    <cellStyle name="Note 14 2" xfId="646" xr:uid="{00000000-0005-0000-0000-0000ED010000}"/>
    <cellStyle name="Note 15" xfId="647" xr:uid="{00000000-0005-0000-0000-0000EE010000}"/>
    <cellStyle name="Note 2" xfId="583" xr:uid="{00000000-0005-0000-0000-0000EF010000}"/>
    <cellStyle name="Note 2 2" xfId="584" xr:uid="{00000000-0005-0000-0000-0000F0010000}"/>
    <cellStyle name="Note 2 2 2" xfId="648" xr:uid="{00000000-0005-0000-0000-0000F1010000}"/>
    <cellStyle name="Note 2 3" xfId="585" xr:uid="{00000000-0005-0000-0000-0000F2010000}"/>
    <cellStyle name="Note 2 4" xfId="649" xr:uid="{00000000-0005-0000-0000-0000F3010000}"/>
    <cellStyle name="Note 3" xfId="586" xr:uid="{00000000-0005-0000-0000-0000F4010000}"/>
    <cellStyle name="Note 3 2" xfId="587" xr:uid="{00000000-0005-0000-0000-0000F5010000}"/>
    <cellStyle name="Note 3 2 2" xfId="650" xr:uid="{00000000-0005-0000-0000-0000F6010000}"/>
    <cellStyle name="Note 3 3" xfId="588" xr:uid="{00000000-0005-0000-0000-0000F7010000}"/>
    <cellStyle name="Note 3 4" xfId="651" xr:uid="{00000000-0005-0000-0000-0000F8010000}"/>
    <cellStyle name="Note 4" xfId="589" xr:uid="{00000000-0005-0000-0000-0000F9010000}"/>
    <cellStyle name="Note 4 2" xfId="652" xr:uid="{00000000-0005-0000-0000-0000FA010000}"/>
    <cellStyle name="Note 5" xfId="590" xr:uid="{00000000-0005-0000-0000-0000FB010000}"/>
    <cellStyle name="Note 5 2" xfId="653" xr:uid="{00000000-0005-0000-0000-0000FC010000}"/>
    <cellStyle name="Note 6" xfId="591" xr:uid="{00000000-0005-0000-0000-0000FD010000}"/>
    <cellStyle name="Note 6 2" xfId="654" xr:uid="{00000000-0005-0000-0000-0000FE010000}"/>
    <cellStyle name="Note 7" xfId="592" xr:uid="{00000000-0005-0000-0000-0000FF010000}"/>
    <cellStyle name="Note 7 2" xfId="655" xr:uid="{00000000-0005-0000-0000-000000020000}"/>
    <cellStyle name="Note 8" xfId="593" xr:uid="{00000000-0005-0000-0000-000001020000}"/>
    <cellStyle name="Note 8 2" xfId="656" xr:uid="{00000000-0005-0000-0000-000002020000}"/>
    <cellStyle name="Note 9" xfId="594" xr:uid="{00000000-0005-0000-0000-000003020000}"/>
    <cellStyle name="Note 9 2" xfId="657" xr:uid="{00000000-0005-0000-0000-000004020000}"/>
    <cellStyle name="Notitie 2" xfId="242" xr:uid="{00000000-0005-0000-0000-000005020000}"/>
    <cellStyle name="Notitie 2 10" xfId="243" xr:uid="{00000000-0005-0000-0000-000006020000}"/>
    <cellStyle name="Notitie 2 2" xfId="244" xr:uid="{00000000-0005-0000-0000-000007020000}"/>
    <cellStyle name="Notitie 2 3" xfId="245" xr:uid="{00000000-0005-0000-0000-000008020000}"/>
    <cellStyle name="Notitie 2 4" xfId="246" xr:uid="{00000000-0005-0000-0000-000009020000}"/>
    <cellStyle name="Notitie 2 5" xfId="247" xr:uid="{00000000-0005-0000-0000-00000A020000}"/>
    <cellStyle name="Notitie 2 6" xfId="248" xr:uid="{00000000-0005-0000-0000-00000B020000}"/>
    <cellStyle name="Notitie 2 7" xfId="249" xr:uid="{00000000-0005-0000-0000-00000C020000}"/>
    <cellStyle name="Notitie 2 8" xfId="250" xr:uid="{00000000-0005-0000-0000-00000D020000}"/>
    <cellStyle name="Notitie 2 9" xfId="251" xr:uid="{00000000-0005-0000-0000-00000E020000}"/>
    <cellStyle name="Notitie 3" xfId="252" xr:uid="{00000000-0005-0000-0000-00000F020000}"/>
    <cellStyle name="Notitie 3 10" xfId="253" xr:uid="{00000000-0005-0000-0000-000010020000}"/>
    <cellStyle name="Notitie 3 2" xfId="254" xr:uid="{00000000-0005-0000-0000-000011020000}"/>
    <cellStyle name="Notitie 3 3" xfId="255" xr:uid="{00000000-0005-0000-0000-000012020000}"/>
    <cellStyle name="Notitie 3 4" xfId="256" xr:uid="{00000000-0005-0000-0000-000013020000}"/>
    <cellStyle name="Notitie 3 5" xfId="257" xr:uid="{00000000-0005-0000-0000-000014020000}"/>
    <cellStyle name="Notitie 3 6" xfId="258" xr:uid="{00000000-0005-0000-0000-000015020000}"/>
    <cellStyle name="Notitie 3 7" xfId="259" xr:uid="{00000000-0005-0000-0000-000016020000}"/>
    <cellStyle name="Notitie 3 8" xfId="260" xr:uid="{00000000-0005-0000-0000-000017020000}"/>
    <cellStyle name="Notitie 3 9" xfId="261" xr:uid="{00000000-0005-0000-0000-000018020000}"/>
    <cellStyle name="Ongeldig 2" xfId="262" xr:uid="{00000000-0005-0000-0000-00001A020000}"/>
    <cellStyle name="Ongeldig 3" xfId="263" xr:uid="{00000000-0005-0000-0000-00001B020000}"/>
    <cellStyle name="Output" xfId="381" builtinId="21" customBuiltin="1"/>
    <cellStyle name="Output 2" xfId="595" xr:uid="{00000000-0005-0000-0000-00001C020000}"/>
    <cellStyle name="Percent 2" xfId="371" xr:uid="{00000000-0005-0000-0000-00001D020000}"/>
    <cellStyle name="Procent 3" xfId="264" xr:uid="{00000000-0005-0000-0000-00001E020000}"/>
    <cellStyle name="Procent 6" xfId="265" xr:uid="{00000000-0005-0000-0000-00001F020000}"/>
    <cellStyle name="Result" xfId="596" xr:uid="{00000000-0005-0000-0000-000020020000}"/>
    <cellStyle name="Result 2" xfId="597" xr:uid="{00000000-0005-0000-0000-000021020000}"/>
    <cellStyle name="Result 3" xfId="598" xr:uid="{00000000-0005-0000-0000-000022020000}"/>
    <cellStyle name="Result 4" xfId="599" xr:uid="{00000000-0005-0000-0000-000023020000}"/>
    <cellStyle name="Result2" xfId="600" xr:uid="{00000000-0005-0000-0000-000024020000}"/>
    <cellStyle name="Result2 2" xfId="601" xr:uid="{00000000-0005-0000-0000-000025020000}"/>
    <cellStyle name="Result2 3" xfId="602" xr:uid="{00000000-0005-0000-0000-000026020000}"/>
    <cellStyle name="Result2 4" xfId="603" xr:uid="{00000000-0005-0000-0000-000027020000}"/>
    <cellStyle name="Standaard 2 10" xfId="266" xr:uid="{00000000-0005-0000-0000-000029020000}"/>
    <cellStyle name="Standaard 2 11" xfId="267" xr:uid="{00000000-0005-0000-0000-00002A020000}"/>
    <cellStyle name="Standaard 2 12" xfId="268" xr:uid="{00000000-0005-0000-0000-00002B020000}"/>
    <cellStyle name="Standaard 2 13" xfId="269" xr:uid="{00000000-0005-0000-0000-00002C020000}"/>
    <cellStyle name="Standaard 2 14" xfId="270" xr:uid="{00000000-0005-0000-0000-00002D020000}"/>
    <cellStyle name="Standaard 2 15" xfId="271" xr:uid="{00000000-0005-0000-0000-00002E020000}"/>
    <cellStyle name="Standaard 2 16" xfId="272" xr:uid="{00000000-0005-0000-0000-00002F020000}"/>
    <cellStyle name="Standaard 2 17" xfId="273" xr:uid="{00000000-0005-0000-0000-000030020000}"/>
    <cellStyle name="Standaard 2 18" xfId="274" xr:uid="{00000000-0005-0000-0000-000031020000}"/>
    <cellStyle name="Standaard 2 19" xfId="275" xr:uid="{00000000-0005-0000-0000-000032020000}"/>
    <cellStyle name="Standaard 2 2" xfId="276" xr:uid="{00000000-0005-0000-0000-000033020000}"/>
    <cellStyle name="Standaard 2 20" xfId="277" xr:uid="{00000000-0005-0000-0000-000034020000}"/>
    <cellStyle name="Standaard 2 21" xfId="278" xr:uid="{00000000-0005-0000-0000-000035020000}"/>
    <cellStyle name="Standaard 2 22" xfId="279" xr:uid="{00000000-0005-0000-0000-000036020000}"/>
    <cellStyle name="Standaard 2 23" xfId="280" xr:uid="{00000000-0005-0000-0000-000037020000}"/>
    <cellStyle name="Standaard 2 24" xfId="281" xr:uid="{00000000-0005-0000-0000-000038020000}"/>
    <cellStyle name="Standaard 2 25" xfId="282" xr:uid="{00000000-0005-0000-0000-000039020000}"/>
    <cellStyle name="Standaard 2 26" xfId="283" xr:uid="{00000000-0005-0000-0000-00003A020000}"/>
    <cellStyle name="Standaard 2 27" xfId="284" xr:uid="{00000000-0005-0000-0000-00003B020000}"/>
    <cellStyle name="Standaard 2 28" xfId="285" xr:uid="{00000000-0005-0000-0000-00003C020000}"/>
    <cellStyle name="Standaard 2 29" xfId="286" xr:uid="{00000000-0005-0000-0000-00003D020000}"/>
    <cellStyle name="Standaard 2 3" xfId="287" xr:uid="{00000000-0005-0000-0000-00003E020000}"/>
    <cellStyle name="Standaard 2 30" xfId="288" xr:uid="{00000000-0005-0000-0000-00003F020000}"/>
    <cellStyle name="Standaard 2 4" xfId="289" xr:uid="{00000000-0005-0000-0000-000040020000}"/>
    <cellStyle name="Standaard 2 5" xfId="290" xr:uid="{00000000-0005-0000-0000-000041020000}"/>
    <cellStyle name="Standaard 2 6" xfId="291" xr:uid="{00000000-0005-0000-0000-000042020000}"/>
    <cellStyle name="Standaard 2 7" xfId="292" xr:uid="{00000000-0005-0000-0000-000043020000}"/>
    <cellStyle name="Standaard 2 8" xfId="293" xr:uid="{00000000-0005-0000-0000-000044020000}"/>
    <cellStyle name="Standaard 2 9" xfId="294" xr:uid="{00000000-0005-0000-0000-000045020000}"/>
    <cellStyle name="Standaard 21 2" xfId="295" xr:uid="{00000000-0005-0000-0000-000046020000}"/>
    <cellStyle name="Standaard 3" xfId="296" xr:uid="{00000000-0005-0000-0000-000047020000}"/>
    <cellStyle name="Standaard 32" xfId="297" xr:uid="{00000000-0005-0000-0000-000048020000}"/>
    <cellStyle name="Standaard 33" xfId="298" xr:uid="{00000000-0005-0000-0000-000049020000}"/>
    <cellStyle name="Standaard 4" xfId="299" xr:uid="{00000000-0005-0000-0000-00004A020000}"/>
    <cellStyle name="Standaard 9" xfId="300" xr:uid="{00000000-0005-0000-0000-00004B020000}"/>
    <cellStyle name="Standaard_Uitgerekend de tuinbouw 2002" xfId="301" xr:uid="{00000000-0005-0000-0000-00004C020000}"/>
    <cellStyle name="Standard 10" xfId="666" xr:uid="{00000000-0005-0000-0000-00004E020000}"/>
    <cellStyle name="Standard 2" xfId="1" xr:uid="{00000000-0005-0000-0000-00004F020000}"/>
    <cellStyle name="Standard 2 2" xfId="661" xr:uid="{00000000-0005-0000-0000-000050020000}"/>
    <cellStyle name="Standard 2 3" xfId="659" xr:uid="{00000000-0005-0000-0000-000051020000}"/>
    <cellStyle name="Standard 2 4" xfId="663" xr:uid="{00000000-0005-0000-0000-000052020000}"/>
    <cellStyle name="Standard 3" xfId="6" xr:uid="{00000000-0005-0000-0000-000053020000}"/>
    <cellStyle name="Standard 3 2" xfId="664" xr:uid="{00000000-0005-0000-0000-000054020000}"/>
    <cellStyle name="Standard 4" xfId="7" xr:uid="{00000000-0005-0000-0000-000055020000}"/>
    <cellStyle name="Standard 5" xfId="350" xr:uid="{00000000-0005-0000-0000-000056020000}"/>
    <cellStyle name="Standard 6" xfId="352" xr:uid="{00000000-0005-0000-0000-000057020000}"/>
    <cellStyle name="Standard 6 2" xfId="356" xr:uid="{00000000-0005-0000-0000-000058020000}"/>
    <cellStyle name="Standard 7" xfId="353" xr:uid="{00000000-0005-0000-0000-000059020000}"/>
    <cellStyle name="Standard 8" xfId="354" xr:uid="{00000000-0005-0000-0000-00005A020000}"/>
    <cellStyle name="Standard 9" xfId="415" xr:uid="{00000000-0005-0000-0000-00005B020000}"/>
    <cellStyle name="Standard_ZIER2" xfId="660" xr:uid="{00000000-0005-0000-0000-00005C020000}"/>
    <cellStyle name="Titel 2" xfId="302" xr:uid="{00000000-0005-0000-0000-00005D020000}"/>
    <cellStyle name="Titel 2 10" xfId="303" xr:uid="{00000000-0005-0000-0000-00005E020000}"/>
    <cellStyle name="Titel 2 2" xfId="304" xr:uid="{00000000-0005-0000-0000-00005F020000}"/>
    <cellStyle name="Titel 2 3" xfId="305" xr:uid="{00000000-0005-0000-0000-000060020000}"/>
    <cellStyle name="Titel 2 4" xfId="306" xr:uid="{00000000-0005-0000-0000-000061020000}"/>
    <cellStyle name="Titel 2 5" xfId="307" xr:uid="{00000000-0005-0000-0000-000062020000}"/>
    <cellStyle name="Titel 2 6" xfId="308" xr:uid="{00000000-0005-0000-0000-000063020000}"/>
    <cellStyle name="Titel 2 7" xfId="309" xr:uid="{00000000-0005-0000-0000-000064020000}"/>
    <cellStyle name="Titel 2 8" xfId="310" xr:uid="{00000000-0005-0000-0000-000065020000}"/>
    <cellStyle name="Titel 2 9" xfId="311" xr:uid="{00000000-0005-0000-0000-000066020000}"/>
    <cellStyle name="Titel 3" xfId="312" xr:uid="{00000000-0005-0000-0000-000067020000}"/>
    <cellStyle name="Titel 3 10" xfId="313" xr:uid="{00000000-0005-0000-0000-000068020000}"/>
    <cellStyle name="Titel 3 2" xfId="314" xr:uid="{00000000-0005-0000-0000-000069020000}"/>
    <cellStyle name="Titel 3 3" xfId="315" xr:uid="{00000000-0005-0000-0000-00006A020000}"/>
    <cellStyle name="Titel 3 4" xfId="316" xr:uid="{00000000-0005-0000-0000-00006B020000}"/>
    <cellStyle name="Titel 3 5" xfId="317" xr:uid="{00000000-0005-0000-0000-00006C020000}"/>
    <cellStyle name="Titel 3 6" xfId="318" xr:uid="{00000000-0005-0000-0000-00006D020000}"/>
    <cellStyle name="Titel 3 7" xfId="319" xr:uid="{00000000-0005-0000-0000-00006E020000}"/>
    <cellStyle name="Titel 3 8" xfId="320" xr:uid="{00000000-0005-0000-0000-00006F020000}"/>
    <cellStyle name="Titel 3 9" xfId="321" xr:uid="{00000000-0005-0000-0000-000070020000}"/>
    <cellStyle name="Title" xfId="372" xr:uid="{00000000-0005-0000-0000-000071020000}"/>
    <cellStyle name="Title 10" xfId="322" xr:uid="{00000000-0005-0000-0000-000072020000}"/>
    <cellStyle name="Title 11" xfId="323" xr:uid="{00000000-0005-0000-0000-000073020000}"/>
    <cellStyle name="Title 12" xfId="324" xr:uid="{00000000-0005-0000-0000-000074020000}"/>
    <cellStyle name="Title 13" xfId="325" xr:uid="{00000000-0005-0000-0000-000075020000}"/>
    <cellStyle name="Title 14" xfId="326" xr:uid="{00000000-0005-0000-0000-000076020000}"/>
    <cellStyle name="Title 15" xfId="327" xr:uid="{00000000-0005-0000-0000-000077020000}"/>
    <cellStyle name="Title 16" xfId="328" xr:uid="{00000000-0005-0000-0000-000078020000}"/>
    <cellStyle name="Title 17" xfId="329" xr:uid="{00000000-0005-0000-0000-000079020000}"/>
    <cellStyle name="Title 18" xfId="330" xr:uid="{00000000-0005-0000-0000-00007A020000}"/>
    <cellStyle name="Title 19" xfId="331" xr:uid="{00000000-0005-0000-0000-00007B020000}"/>
    <cellStyle name="Title 2" xfId="332" xr:uid="{00000000-0005-0000-0000-00007C020000}"/>
    <cellStyle name="Title 2 2" xfId="333" xr:uid="{00000000-0005-0000-0000-00007D020000}"/>
    <cellStyle name="Title 20" xfId="334" xr:uid="{00000000-0005-0000-0000-00007E020000}"/>
    <cellStyle name="Title 21" xfId="335" xr:uid="{00000000-0005-0000-0000-00007F020000}"/>
    <cellStyle name="Title 22" xfId="336" xr:uid="{00000000-0005-0000-0000-000080020000}"/>
    <cellStyle name="Title 23" xfId="337" xr:uid="{00000000-0005-0000-0000-000081020000}"/>
    <cellStyle name="Title 24" xfId="338" xr:uid="{00000000-0005-0000-0000-000082020000}"/>
    <cellStyle name="Title 3" xfId="339" xr:uid="{00000000-0005-0000-0000-000083020000}"/>
    <cellStyle name="Title 4" xfId="340" xr:uid="{00000000-0005-0000-0000-000084020000}"/>
    <cellStyle name="Title 5" xfId="341" xr:uid="{00000000-0005-0000-0000-000085020000}"/>
    <cellStyle name="Title 6" xfId="342" xr:uid="{00000000-0005-0000-0000-000086020000}"/>
    <cellStyle name="Title 7" xfId="343" xr:uid="{00000000-0005-0000-0000-000087020000}"/>
    <cellStyle name="Title 8" xfId="344" xr:uid="{00000000-0005-0000-0000-000088020000}"/>
    <cellStyle name="Title 9" xfId="345" xr:uid="{00000000-0005-0000-0000-000089020000}"/>
    <cellStyle name="Totaal 2" xfId="346" xr:uid="{00000000-0005-0000-0000-00008A020000}"/>
    <cellStyle name="Totaal 3" xfId="347" xr:uid="{00000000-0005-0000-0000-00008B020000}"/>
    <cellStyle name="Total" xfId="388" builtinId="25" customBuiltin="1"/>
    <cellStyle name="Total 2" xfId="604" xr:uid="{00000000-0005-0000-0000-00008C020000}"/>
    <cellStyle name="Uitvoer 2" xfId="348" xr:uid="{00000000-0005-0000-0000-000091020000}"/>
    <cellStyle name="Uitvoer 3" xfId="349" xr:uid="{00000000-0005-0000-0000-000092020000}"/>
    <cellStyle name="Warning Text" xfId="385" builtinId="11" customBuiltin="1"/>
    <cellStyle name="Warning Text 2" xfId="605" xr:uid="{00000000-0005-0000-0000-000095020000}"/>
    <cellStyle name="桁区切り 2" xfId="5" xr:uid="{00000000-0005-0000-0000-000097020000}"/>
    <cellStyle name="桁区切り 2 2" xfId="414" xr:uid="{00000000-0005-0000-0000-000098020000}"/>
    <cellStyle name="標準 3" xfId="668" xr:uid="{00000000-0005-0000-0000-000099020000}"/>
    <cellStyle name="標準_82-706-710　ⅩⅨ　1　農業共済（農作）【更新】" xfId="4" xr:uid="{00000000-0005-0000-0000-00009A020000}"/>
    <cellStyle name="標準_A1000P" xfId="665" xr:uid="{00000000-0005-0000-0000-00009B020000}"/>
    <cellStyle name="通貨 2" xfId="667" xr:uid="{00000000-0005-0000-0000-00009C020000}"/>
  </cellStyles>
  <dxfs count="0"/>
  <tableStyles count="0" defaultTableStyle="TableStyleMedium2" defaultPivotStyle="PivotStyleMedium9"/>
  <colors>
    <mruColors>
      <color rgb="FFEAEAEA"/>
      <color rgb="FFE6E6E6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externalLink" Target="externalLinks/externalLink3.xml"/><Relationship Id="rId50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1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externalLink" Target="externalLinks/externalLink4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2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5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621827689498452"/>
          <c:y val="9.8891704052009033E-2"/>
          <c:w val="0.6910916735075785"/>
          <c:h val="0.733339312124020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'Canada_26-31'!$L$143:$L$147</c:f>
              <c:strCache>
                <c:ptCount val="5"/>
                <c:pt idx="0">
                  <c:v>Cuttings </c:v>
                </c:pt>
                <c:pt idx="1">
                  <c:v>Cut flowers</c:v>
                </c:pt>
                <c:pt idx="2">
                  <c:v>Ornamental bedding plants</c:v>
                </c:pt>
                <c:pt idx="3">
                  <c:v>Nursery stock</c:v>
                </c:pt>
                <c:pt idx="4">
                  <c:v>Potted plants </c:v>
                </c:pt>
              </c:strCache>
            </c:strRef>
          </c:cat>
          <c:val>
            <c:numRef>
              <c:f>'Canada_26-31'!$M$143:$M$147</c:f>
              <c:numCache>
                <c:formatCode>General</c:formatCode>
                <c:ptCount val="5"/>
                <c:pt idx="0">
                  <c:v>65</c:v>
                </c:pt>
                <c:pt idx="1">
                  <c:v>231</c:v>
                </c:pt>
                <c:pt idx="2">
                  <c:v>221</c:v>
                </c:pt>
                <c:pt idx="3">
                  <c:v>796</c:v>
                </c:pt>
                <c:pt idx="4">
                  <c:v>1240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3B-4F7B-AC5D-27548C7D3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623680"/>
        <c:axId val="519938312"/>
      </c:barChart>
      <c:catAx>
        <c:axId val="1446236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519938312"/>
        <c:crosses val="autoZero"/>
        <c:auto val="1"/>
        <c:lblAlgn val="ctr"/>
        <c:lblOffset val="100"/>
        <c:noMultiLvlLbl val="0"/>
      </c:catAx>
      <c:valAx>
        <c:axId val="519938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4623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40658778273302"/>
          <c:y val="0.23493102297557886"/>
          <c:w val="0.50672865273602774"/>
          <c:h val="0.74007548153546265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4D4-41E2-A27D-33B4CEF7791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4D4-41E2-A27D-33B4CEF7791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4D4-41E2-A27D-33B4CEF7791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4D4-41E2-A27D-33B4CEF7791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4D4-41E2-A27D-33B4CEF7791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4D4-41E2-A27D-33B4CEF7791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4D4-41E2-A27D-33B4CEF7791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4D4-41E2-A27D-33B4CEF77916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F4D4-41E2-A27D-33B4CEF77916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F4D4-41E2-A27D-33B4CEF7791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F4D4-41E2-A27D-33B4CEF77916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F4D4-41E2-A27D-33B4CEF77916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F4D4-41E2-A27D-33B4CEF77916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F4D4-41E2-A27D-33B4CEF77916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F4D4-41E2-A27D-33B4CEF77916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F4D4-41E2-A27D-33B4CEF77916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F4D4-41E2-A27D-33B4CEF77916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F4D4-41E2-A27D-33B4CEF77916}"/>
              </c:ext>
            </c:extLst>
          </c:dPt>
          <c:dLbls>
            <c:dLbl>
              <c:idx val="1"/>
              <c:layout>
                <c:manualLayout>
                  <c:x val="0.17718768748361549"/>
                  <c:y val="-6.6423814723788638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D4-41E2-A27D-33B4CEF77916}"/>
                </c:ext>
              </c:extLst>
            </c:dLbl>
            <c:dLbl>
              <c:idx val="2"/>
              <c:layout>
                <c:manualLayout>
                  <c:x val="8.6553323029366303E-2"/>
                  <c:y val="-2.407825432656132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4D4-41E2-A27D-33B4CEF77916}"/>
                </c:ext>
              </c:extLst>
            </c:dLbl>
            <c:dLbl>
              <c:idx val="3"/>
              <c:layout>
                <c:manualLayout>
                  <c:x val="9.0674909840288517E-2"/>
                  <c:y val="-6.0195635816403309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4D4-41E2-A27D-33B4CEF77916}"/>
                </c:ext>
              </c:extLst>
            </c:dLbl>
            <c:dLbl>
              <c:idx val="4"/>
              <c:layout>
                <c:manualLayout>
                  <c:x val="0.12982998454404945"/>
                  <c:y val="1.805869074492099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4D4-41E2-A27D-33B4CEF77916}"/>
                </c:ext>
              </c:extLst>
            </c:dLbl>
            <c:dLbl>
              <c:idx val="5"/>
              <c:layout>
                <c:manualLayout>
                  <c:x val="0.14425553838227717"/>
                  <c:y val="6.019563581640319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4D4-41E2-A27D-33B4CEF77916}"/>
                </c:ext>
              </c:extLst>
            </c:dLbl>
            <c:dLbl>
              <c:idx val="6"/>
              <c:layout>
                <c:manualLayout>
                  <c:x val="0.10374002208530229"/>
                  <c:y val="0.11446015252648868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4D4-41E2-A27D-33B4CEF77916}"/>
                </c:ext>
              </c:extLst>
            </c:dLbl>
            <c:dLbl>
              <c:idx val="7"/>
              <c:layout>
                <c:manualLayout>
                  <c:x val="0.10252906949144001"/>
                  <c:y val="0.1019816606441911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4D4-41E2-A27D-33B4CEF77916}"/>
                </c:ext>
              </c:extLst>
            </c:dLbl>
            <c:dLbl>
              <c:idx val="8"/>
              <c:layout>
                <c:manualLayout>
                  <c:x val="-7.8117201811546716E-2"/>
                  <c:y val="0.12256641686706427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4D4-41E2-A27D-33B4CEF77916}"/>
                </c:ext>
              </c:extLst>
            </c:dLbl>
            <c:dLbl>
              <c:idx val="9"/>
              <c:layout>
                <c:manualLayout>
                  <c:x val="-0.14603608788510314"/>
                  <c:y val="0.14121944877049586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4D4-41E2-A27D-33B4CEF77916}"/>
                </c:ext>
              </c:extLst>
            </c:dLbl>
            <c:dLbl>
              <c:idx val="10"/>
              <c:layout>
                <c:manualLayout>
                  <c:x val="-0.20706612316671452"/>
                  <c:y val="6.00754184972278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4D4-41E2-A27D-33B4CEF77916}"/>
                </c:ext>
              </c:extLst>
            </c:dLbl>
            <c:dLbl>
              <c:idx val="11"/>
              <c:layout>
                <c:manualLayout>
                  <c:x val="-0.16280267903142709"/>
                  <c:y val="-9.0293453724604959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4D4-41E2-A27D-33B4CEF77916}"/>
                </c:ext>
              </c:extLst>
            </c:dLbl>
            <c:dLbl>
              <c:idx val="12"/>
              <c:layout>
                <c:manualLayout>
                  <c:x val="-0.15043791859866049"/>
                  <c:y val="-3.3107599699021821E-2"/>
                </c:manualLayout>
              </c:layout>
              <c:tx>
                <c:rich>
                  <a:bodyPr/>
                  <a:lstStyle/>
                  <a:p>
                    <a:fld id="{48F02750-F081-40F6-864B-F6A268DA6409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969EED9C-F31E-4916-BD81-04F360A7EFF3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 
</a:t>
                    </a:r>
                    <a:fld id="{520700EA-FBD6-4364-9B4C-50D6556942FF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9-F4D4-41E2-A27D-33B4CEF77916}"/>
                </c:ext>
              </c:extLst>
            </c:dLbl>
            <c:dLbl>
              <c:idx val="13"/>
              <c:layout>
                <c:manualLayout>
                  <c:x val="-0.20608555858163705"/>
                  <c:y val="-6.2579443177078628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4D4-41E2-A27D-33B4CEF77916}"/>
                </c:ext>
              </c:extLst>
            </c:dLbl>
            <c:dLbl>
              <c:idx val="14"/>
              <c:layout>
                <c:manualLayout>
                  <c:x val="-0.17310664605873266"/>
                  <c:y val="-7.825432656132433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F4D4-41E2-A27D-33B4CEF77916}"/>
                </c:ext>
              </c:extLst>
            </c:dLbl>
            <c:dLbl>
              <c:idx val="15"/>
              <c:layout>
                <c:manualLayout>
                  <c:x val="-7.4188562596599686E-2"/>
                  <c:y val="-0.1203912716328066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F4D4-41E2-A27D-33B4CEF77916}"/>
                </c:ext>
              </c:extLst>
            </c:dLbl>
            <c:dLbl>
              <c:idx val="16"/>
              <c:layout>
                <c:manualLayout>
                  <c:x val="1.0303967027305513E-2"/>
                  <c:y val="-0.15951843491346879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F4D4-41E2-A27D-33B4CEF77916}"/>
                </c:ext>
              </c:extLst>
            </c:dLbl>
            <c:dLbl>
              <c:idx val="17"/>
              <c:layout>
                <c:manualLayout>
                  <c:x val="0.18547140649149915"/>
                  <c:y val="-0.12942061700526711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F4D4-41E2-A27D-33B4CEF779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[5]Quantity!$A$41:$A$58</c:f>
              <c:strCache>
                <c:ptCount val="18"/>
                <c:pt idx="0">
                  <c:v>2015</c:v>
                </c:pt>
                <c:pt idx="1">
                  <c:v>Chrysanthemums</c:v>
                </c:pt>
                <c:pt idx="2">
                  <c:v>Lilies</c:v>
                </c:pt>
                <c:pt idx="3">
                  <c:v>Roses</c:v>
                </c:pt>
                <c:pt idx="4">
                  <c:v>Carnations</c:v>
                </c:pt>
                <c:pt idx="5">
                  <c:v>Eustoma</c:v>
                </c:pt>
                <c:pt idx="6">
                  <c:v>Cut branches </c:v>
                </c:pt>
                <c:pt idx="7">
                  <c:v>Other cut flowers</c:v>
                </c:pt>
                <c:pt idx="8">
                  <c:v>Tropical orchids</c:v>
                </c:pt>
                <c:pt idx="9">
                  <c:v>Cyclamen </c:v>
                </c:pt>
                <c:pt idx="10">
                  <c:v>flowering trees and shrubs (pot grown) </c:v>
                </c:pt>
                <c:pt idx="11">
                  <c:v>Foiliage plants (pot grown) </c:v>
                </c:pt>
                <c:pt idx="12">
                  <c:v>Other potted plants </c:v>
                </c:pt>
                <c:pt idx="13">
                  <c:v>Seedlings for flowers beds</c:v>
                </c:pt>
                <c:pt idx="14">
                  <c:v>Flowering trees and shrubs </c:v>
                </c:pt>
                <c:pt idx="15">
                  <c:v>Lawn grass</c:v>
                </c:pt>
                <c:pt idx="16">
                  <c:v>Ground covering plants</c:v>
                </c:pt>
                <c:pt idx="17">
                  <c:v>Flower bulbs</c:v>
                </c:pt>
              </c:strCache>
            </c:strRef>
          </c:cat>
          <c:val>
            <c:numRef>
              <c:f>[5]Quantity!$B$41:$B$58</c:f>
              <c:numCache>
                <c:formatCode>General</c:formatCode>
                <c:ptCount val="18"/>
                <c:pt idx="1">
                  <c:v>69.2</c:v>
                </c:pt>
                <c:pt idx="2">
                  <c:v>21.7</c:v>
                </c:pt>
                <c:pt idx="3">
                  <c:v>19</c:v>
                </c:pt>
                <c:pt idx="4">
                  <c:v>12.6</c:v>
                </c:pt>
                <c:pt idx="5">
                  <c:v>11.7</c:v>
                </c:pt>
                <c:pt idx="6">
                  <c:v>15.1</c:v>
                </c:pt>
                <c:pt idx="7">
                  <c:v>68.900000000000006</c:v>
                </c:pt>
                <c:pt idx="8">
                  <c:v>33.299999999999997</c:v>
                </c:pt>
                <c:pt idx="9">
                  <c:v>8.6999999999999993</c:v>
                </c:pt>
                <c:pt idx="10">
                  <c:v>16.8</c:v>
                </c:pt>
                <c:pt idx="11">
                  <c:v>11.3</c:v>
                </c:pt>
                <c:pt idx="12">
                  <c:v>25.8</c:v>
                </c:pt>
                <c:pt idx="13">
                  <c:v>30.2</c:v>
                </c:pt>
                <c:pt idx="14">
                  <c:v>22.6</c:v>
                </c:pt>
                <c:pt idx="15">
                  <c:v>7.3</c:v>
                </c:pt>
                <c:pt idx="16">
                  <c:v>3.2</c:v>
                </c:pt>
                <c:pt idx="17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F4D4-41E2-A27D-33B4CEF77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5661818897844725"/>
          <c:y val="0.11678133359818461"/>
          <c:w val="0.51314807524059491"/>
          <c:h val="0.7944817911143833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'USA_94-104'!$C$412:$C$418</c:f>
              <c:strCache>
                <c:ptCount val="7"/>
                <c:pt idx="0">
                  <c:v>Annual bedding/garden plants</c:v>
                </c:pt>
                <c:pt idx="1">
                  <c:v>Potted flowering plants</c:v>
                </c:pt>
                <c:pt idx="2">
                  <c:v>Foliage plants, indoor/patio use</c:v>
                </c:pt>
                <c:pt idx="3">
                  <c:v>Herbaceous perennial plants</c:v>
                </c:pt>
                <c:pt idx="4">
                  <c:v>Propagative floriculture materials</c:v>
                </c:pt>
                <c:pt idx="5">
                  <c:v>Cut flowers</c:v>
                </c:pt>
                <c:pt idx="6">
                  <c:v>Cut cultivated greens</c:v>
                </c:pt>
              </c:strCache>
            </c:strRef>
          </c:cat>
          <c:val>
            <c:numRef>
              <c:f>'USA_94-104'!$F$412:$F$418</c:f>
              <c:numCache>
                <c:formatCode>General</c:formatCode>
                <c:ptCount val="7"/>
                <c:pt idx="0">
                  <c:v>2476</c:v>
                </c:pt>
                <c:pt idx="1">
                  <c:v>1002</c:v>
                </c:pt>
                <c:pt idx="2">
                  <c:v>919</c:v>
                </c:pt>
                <c:pt idx="3">
                  <c:v>1038</c:v>
                </c:pt>
                <c:pt idx="4">
                  <c:v>514</c:v>
                </c:pt>
                <c:pt idx="5">
                  <c:v>350</c:v>
                </c:pt>
                <c:pt idx="6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63-4A0F-9F93-F757FAFAA64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98"/>
        <c:overlap val="100"/>
        <c:axId val="473206016"/>
        <c:axId val="473209152"/>
      </c:barChart>
      <c:catAx>
        <c:axId val="47320601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473209152"/>
        <c:crosses val="autoZero"/>
        <c:auto val="1"/>
        <c:lblAlgn val="ctr"/>
        <c:lblOffset val="100"/>
        <c:noMultiLvlLbl val="0"/>
      </c:catAx>
      <c:valAx>
        <c:axId val="47320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732060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'USA_94-104'!$C$385</c:f>
              <c:strCache>
                <c:ptCount val="1"/>
                <c:pt idx="0">
                  <c:v>Value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'USA_94-104'!$E$384:$R$384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'USA_94-104'!$E$385:$R$385</c:f>
              <c:numCache>
                <c:formatCode>General</c:formatCode>
                <c:ptCount val="14"/>
                <c:pt idx="0">
                  <c:v>4.1500000000000004</c:v>
                </c:pt>
                <c:pt idx="1">
                  <c:v>4.08</c:v>
                </c:pt>
                <c:pt idx="2">
                  <c:v>4.3600000000000003</c:v>
                </c:pt>
                <c:pt idx="3">
                  <c:v>4.25</c:v>
                </c:pt>
                <c:pt idx="4" formatCode="0.00">
                  <c:v>4.2</c:v>
                </c:pt>
                <c:pt idx="5">
                  <c:v>4.37</c:v>
                </c:pt>
                <c:pt idx="8">
                  <c:v>4.63</c:v>
                </c:pt>
                <c:pt idx="9">
                  <c:v>4.42</c:v>
                </c:pt>
                <c:pt idx="10">
                  <c:v>4.8</c:v>
                </c:pt>
                <c:pt idx="11">
                  <c:v>6.43</c:v>
                </c:pt>
                <c:pt idx="12">
                  <c:v>6.69</c:v>
                </c:pt>
                <c:pt idx="13">
                  <c:v>6.69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BB-43E1-9220-0794C5E59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31"/>
        <c:axId val="473211112"/>
        <c:axId val="473204840"/>
      </c:barChart>
      <c:catAx>
        <c:axId val="473211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73204840"/>
        <c:crosses val="autoZero"/>
        <c:auto val="1"/>
        <c:lblAlgn val="ctr"/>
        <c:lblOffset val="100"/>
        <c:noMultiLvlLbl val="0"/>
      </c:catAx>
      <c:valAx>
        <c:axId val="47320484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73211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011592300962383E-2"/>
          <c:y val="3.8686080653407208E-2"/>
          <c:w val="0.87187729658792656"/>
          <c:h val="0.7223535262890443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'[6]Sales figures '!$B$78:$B$86</c:f>
              <c:strCache>
                <c:ptCount val="9"/>
                <c:pt idx="0">
                  <c:v>Califonia</c:v>
                </c:pt>
                <c:pt idx="1">
                  <c:v>Florida</c:v>
                </c:pt>
                <c:pt idx="2">
                  <c:v>Michigan</c:v>
                </c:pt>
                <c:pt idx="3">
                  <c:v>New Jersey</c:v>
                </c:pt>
                <c:pt idx="4">
                  <c:v>Ohio</c:v>
                </c:pt>
                <c:pt idx="5">
                  <c:v>Pennsylvania</c:v>
                </c:pt>
                <c:pt idx="6">
                  <c:v>North Carolina</c:v>
                </c:pt>
                <c:pt idx="7">
                  <c:v>Texas</c:v>
                </c:pt>
                <c:pt idx="8">
                  <c:v>Other states</c:v>
                </c:pt>
              </c:strCache>
            </c:strRef>
          </c:cat>
          <c:val>
            <c:numRef>
              <c:f>'USA_94-104'!$D$459:$D$467</c:f>
              <c:numCache>
                <c:formatCode>General</c:formatCode>
                <c:ptCount val="9"/>
                <c:pt idx="0">
                  <c:v>983</c:v>
                </c:pt>
                <c:pt idx="1">
                  <c:v>1208</c:v>
                </c:pt>
                <c:pt idx="2">
                  <c:v>695</c:v>
                </c:pt>
                <c:pt idx="3">
                  <c:v>308</c:v>
                </c:pt>
                <c:pt idx="4">
                  <c:v>233</c:v>
                </c:pt>
                <c:pt idx="5">
                  <c:v>215</c:v>
                </c:pt>
                <c:pt idx="6">
                  <c:v>168</c:v>
                </c:pt>
                <c:pt idx="7">
                  <c:v>319</c:v>
                </c:pt>
                <c:pt idx="8">
                  <c:v>2414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AC-4CE5-B0B9-66A33BB43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3209544"/>
        <c:axId val="473206408"/>
      </c:barChart>
      <c:catAx>
        <c:axId val="473209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73206408"/>
        <c:crosses val="autoZero"/>
        <c:auto val="1"/>
        <c:lblAlgn val="ctr"/>
        <c:lblOffset val="100"/>
        <c:noMultiLvlLbl val="0"/>
      </c:catAx>
      <c:valAx>
        <c:axId val="473206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73209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75765529308837E-2"/>
          <c:y val="0.15019157088122606"/>
          <c:w val="0.93524234470691159"/>
          <c:h val="0.67448806830180708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'USA_94-104'!$E$477:$O$477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strCache>
            </c:strRef>
          </c:cat>
          <c:val>
            <c:numRef>
              <c:f>'USA_94-104'!$E$479:$O$479</c:f>
              <c:numCache>
                <c:formatCode>General</c:formatCode>
                <c:ptCount val="11"/>
                <c:pt idx="0">
                  <c:v>30.347999999999999</c:v>
                </c:pt>
                <c:pt idx="1">
                  <c:v>31.637</c:v>
                </c:pt>
                <c:pt idx="2">
                  <c:v>32.651000000000003</c:v>
                </c:pt>
                <c:pt idx="3">
                  <c:v>34.091000000000001</c:v>
                </c:pt>
                <c:pt idx="4">
                  <c:v>35.68</c:v>
                </c:pt>
                <c:pt idx="5">
                  <c:v>36.811999999999998</c:v>
                </c:pt>
                <c:pt idx="6">
                  <c:v>41.234999999999999</c:v>
                </c:pt>
                <c:pt idx="7">
                  <c:v>51.993000000000002</c:v>
                </c:pt>
                <c:pt idx="8">
                  <c:v>59.014000000000003</c:v>
                </c:pt>
                <c:pt idx="9">
                  <c:v>72.899000000000001</c:v>
                </c:pt>
                <c:pt idx="10">
                  <c:v>71.161000000000001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7A-4EB8-888F-D22EC4642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8"/>
        <c:overlap val="-31"/>
        <c:axId val="473210328"/>
        <c:axId val="473211896"/>
      </c:barChart>
      <c:catAx>
        <c:axId val="473210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73211896"/>
        <c:crosses val="autoZero"/>
        <c:auto val="1"/>
        <c:lblAlgn val="ctr"/>
        <c:lblOffset val="100"/>
        <c:noMultiLvlLbl val="0"/>
      </c:catAx>
      <c:valAx>
        <c:axId val="473211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73210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510542493545196"/>
          <c:y val="0.23320084989376327"/>
          <c:w val="0.46921362273251038"/>
          <c:h val="0.73946375750650217"/>
        </c:manualLayout>
      </c:layout>
      <c:pieChart>
        <c:varyColors val="1"/>
        <c:ser>
          <c:idx val="0"/>
          <c:order val="0"/>
          <c:spPr>
            <a:ln w="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2AD-4F8A-B3BA-A4B578797BAB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2AD-4F8A-B3BA-A4B578797BAB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2AD-4F8A-B3BA-A4B578797BAB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2AD-4F8A-B3BA-A4B578797BAB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2AD-4F8A-B3BA-A4B578797BAB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2AD-4F8A-B3BA-A4B578797BAB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2AD-4F8A-B3BA-A4B578797BAB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2AD-4F8A-B3BA-A4B578797BAB}"/>
              </c:ext>
            </c:extLst>
          </c:dPt>
          <c:dPt>
            <c:idx val="8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B2AD-4F8A-B3BA-A4B578797BAB}"/>
              </c:ext>
            </c:extLst>
          </c:dPt>
          <c:dLbls>
            <c:dLbl>
              <c:idx val="0"/>
              <c:layout>
                <c:manualLayout>
                  <c:x val="5.562816387082048E-2"/>
                  <c:y val="-2.3323716766809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AD-4F8A-B3BA-A4B578797BAB}"/>
                </c:ext>
              </c:extLst>
            </c:dLbl>
            <c:dLbl>
              <c:idx val="1"/>
              <c:layout>
                <c:manualLayout>
                  <c:x val="8.7569616107612894E-3"/>
                  <c:y val="-2.033369272824299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2AD-4F8A-B3BA-A4B578797BAB}"/>
                </c:ext>
              </c:extLst>
            </c:dLbl>
            <c:dLbl>
              <c:idx val="2"/>
              <c:layout>
                <c:manualLayout>
                  <c:x val="7.7406093803492046E-2"/>
                  <c:y val="-6.107893538101118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2AD-4F8A-B3BA-A4B578797BAB}"/>
                </c:ext>
              </c:extLst>
            </c:dLbl>
            <c:dLbl>
              <c:idx val="3"/>
              <c:layout>
                <c:manualLayout>
                  <c:x val="-8.0713445387798802E-2"/>
                  <c:y val="-1.460269847221489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2AD-4F8A-B3BA-A4B578797BAB}"/>
                </c:ext>
              </c:extLst>
            </c:dLbl>
            <c:dLbl>
              <c:idx val="4"/>
              <c:layout>
                <c:manualLayout>
                  <c:x val="-1.320844459659935E-2"/>
                  <c:y val="1.464552468131566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2AD-4F8A-B3BA-A4B578797BAB}"/>
                </c:ext>
              </c:extLst>
            </c:dLbl>
            <c:dLbl>
              <c:idx val="5"/>
              <c:layout>
                <c:manualLayout>
                  <c:x val="-3.9805546045874697E-2"/>
                  <c:y val="7.931483771140178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2AD-4F8A-B3BA-A4B578797BAB}"/>
                </c:ext>
              </c:extLst>
            </c:dLbl>
            <c:dLbl>
              <c:idx val="6"/>
              <c:layout>
                <c:manualLayout>
                  <c:x val="-0.15350742896268402"/>
                  <c:y val="6.544557963312437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2AD-4F8A-B3BA-A4B578797BAB}"/>
                </c:ext>
              </c:extLst>
            </c:dLbl>
            <c:dLbl>
              <c:idx val="7"/>
              <c:layout>
                <c:manualLayout>
                  <c:x val="-6.1678647757148319E-2"/>
                  <c:y val="-2.7104910641356553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2AD-4F8A-B3BA-A4B578797BAB}"/>
                </c:ext>
              </c:extLst>
            </c:dLbl>
            <c:dLbl>
              <c:idx val="8"/>
              <c:layout>
                <c:manualLayout>
                  <c:x val="2.0172356702753948E-2"/>
                  <c:y val="-1.618322605939817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2AD-4F8A-B3BA-A4B578797B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'Canada_26-31'!$B$183:$B$191</c:f>
              <c:strCache>
                <c:ptCount val="9"/>
                <c:pt idx="0">
                  <c:v>Direct sales to the public </c:v>
                </c:pt>
                <c:pt idx="1">
                  <c:v>Fruit growers</c:v>
                </c:pt>
                <c:pt idx="2">
                  <c:v>Landscape contractors</c:v>
                </c:pt>
                <c:pt idx="3">
                  <c:v>Garden centres</c:v>
                </c:pt>
                <c:pt idx="4">
                  <c:v>Mass market chain stores</c:v>
                </c:pt>
                <c:pt idx="5">
                  <c:v>Other growers</c:v>
                </c:pt>
                <c:pt idx="6">
                  <c:v>Exported</c:v>
                </c:pt>
                <c:pt idx="7">
                  <c:v>Government and public agencies</c:v>
                </c:pt>
                <c:pt idx="8">
                  <c:v>Other channels</c:v>
                </c:pt>
              </c:strCache>
            </c:strRef>
          </c:cat>
          <c:val>
            <c:numRef>
              <c:f>'Canada_26-31'!$C$183:$C$191</c:f>
              <c:numCache>
                <c:formatCode>#,##0</c:formatCode>
                <c:ptCount val="9"/>
                <c:pt idx="0">
                  <c:v>84842013</c:v>
                </c:pt>
                <c:pt idx="1">
                  <c:v>40061202</c:v>
                </c:pt>
                <c:pt idx="2">
                  <c:v>207331646</c:v>
                </c:pt>
                <c:pt idx="3">
                  <c:v>133975039</c:v>
                </c:pt>
                <c:pt idx="4">
                  <c:v>111973939</c:v>
                </c:pt>
                <c:pt idx="5">
                  <c:v>69520022</c:v>
                </c:pt>
                <c:pt idx="6">
                  <c:v>53693800</c:v>
                </c:pt>
                <c:pt idx="7">
                  <c:v>29175370</c:v>
                </c:pt>
                <c:pt idx="8">
                  <c:v>65546585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2AD-4F8A-B3BA-A4B578797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solidFill>
            <a:schemeClr val="bg1"/>
          </a:solidFill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745166229221351"/>
          <c:y val="0.18097222222222226"/>
          <c:w val="0.40565244969378822"/>
          <c:h val="0.67608741615631374"/>
        </c:manualLayout>
      </c:layout>
      <c:doughnutChart>
        <c:varyColors val="1"/>
        <c:ser>
          <c:idx val="0"/>
          <c:order val="0"/>
          <c:tx>
            <c:strRef>
              <c:f>'Colombia_34-37'!$I$57</c:f>
              <c:strCache>
                <c:ptCount val="1"/>
                <c:pt idx="0">
                  <c:v>Area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937-4C52-8CB5-E15AC52F21B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937-4C52-8CB5-E15AC52F21B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937-4C52-8CB5-E15AC52F21B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937-4C52-8CB5-E15AC52F21B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937-4C52-8CB5-E15AC52F21B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937-4C52-8CB5-E15AC52F21BD}"/>
              </c:ext>
            </c:extLst>
          </c:dPt>
          <c:dLbls>
            <c:dLbl>
              <c:idx val="0"/>
              <c:layout>
                <c:manualLayout>
                  <c:x val="8.8888888888888892E-2"/>
                  <c:y val="-0.12962962962962962"/>
                </c:manualLayout>
              </c:layout>
              <c:tx>
                <c:rich>
                  <a:bodyPr/>
                  <a:lstStyle/>
                  <a:p>
                    <a:fld id="{F6FA63C0-54F0-4ED4-B35C-503549094E66}" type="CATEGORYNAME">
                      <a:rPr lang="en-US"/>
                      <a:pPr/>
                      <a:t>[CATEGORY NAME]</a:t>
                    </a:fld>
                    <a:endParaRPr lang="en-US" baseline="0"/>
                  </a:p>
                  <a:p>
                    <a:fld id="{39CF9293-EE92-4BF4-984B-51B02BCE207C}" type="VALUE">
                      <a:rPr lang="en-US"/>
                      <a:pPr/>
                      <a:t>[VALUE]</a:t>
                    </a:fld>
                    <a:r>
                      <a:rPr lang="en-US"/>
                      <a:t> ha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C937-4C52-8CB5-E15AC52F21BD}"/>
                </c:ext>
              </c:extLst>
            </c:dLbl>
            <c:dLbl>
              <c:idx val="1"/>
              <c:layout>
                <c:manualLayout>
                  <c:x val="0.1"/>
                  <c:y val="9.7222222222222224E-2"/>
                </c:manualLayout>
              </c:layout>
              <c:tx>
                <c:rich>
                  <a:bodyPr/>
                  <a:lstStyle/>
                  <a:p>
                    <a:fld id="{7FFF3F1B-0BB4-4996-99B1-F44D215F60F4}" type="CATEGORYNAME">
                      <a:rPr lang="en-US"/>
                      <a:pPr/>
                      <a:t>[CATEGORY NAME]</a:t>
                    </a:fld>
                    <a:endParaRPr lang="en-US" baseline="0"/>
                  </a:p>
                  <a:p>
                    <a:fld id="{C7621E02-F9B5-4771-B990-830779B1460B}" type="VALUE">
                      <a:rPr lang="en-US"/>
                      <a:pPr/>
                      <a:t>[VALUE]</a:t>
                    </a:fld>
                    <a:r>
                      <a:rPr lang="en-US"/>
                      <a:t> ha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C937-4C52-8CB5-E15AC52F21BD}"/>
                </c:ext>
              </c:extLst>
            </c:dLbl>
            <c:dLbl>
              <c:idx val="2"/>
              <c:layout>
                <c:manualLayout>
                  <c:x val="-0.1361111111111111"/>
                  <c:y val="0.11123553998241745"/>
                </c:manualLayout>
              </c:layout>
              <c:tx>
                <c:rich>
                  <a:bodyPr/>
                  <a:lstStyle/>
                  <a:p>
                    <a:fld id="{84A15651-A385-492A-8C20-942E75AF6A46}" type="CATEGORYNAME">
                      <a:rPr lang="en-US"/>
                      <a:pPr/>
                      <a:t>[CATEGORY NAME]</a:t>
                    </a:fld>
                    <a:endParaRPr lang="en-US" baseline="0"/>
                  </a:p>
                  <a:p>
                    <a:fld id="{8B454B53-AFC3-4195-ADBA-3F1CFE1FBA63}" type="VALUE">
                      <a:rPr lang="en-US"/>
                      <a:pPr/>
                      <a:t>[VALUE]</a:t>
                    </a:fld>
                    <a:r>
                      <a:rPr lang="en-US"/>
                      <a:t> ha 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C937-4C52-8CB5-E15AC52F21BD}"/>
                </c:ext>
              </c:extLst>
            </c:dLbl>
            <c:dLbl>
              <c:idx val="3"/>
              <c:layout>
                <c:manualLayout>
                  <c:x val="-0.14166666666666669"/>
                  <c:y val="2.3148148148148147E-2"/>
                </c:manualLayout>
              </c:layout>
              <c:tx>
                <c:rich>
                  <a:bodyPr/>
                  <a:lstStyle/>
                  <a:p>
                    <a:fld id="{59473BB5-A7E3-4B86-90C3-CCE748D59D1E}" type="CATEGORYNAME">
                      <a:rPr lang="en-US"/>
                      <a:pPr/>
                      <a:t>[CATEGORY NAME]</a:t>
                    </a:fld>
                    <a:endParaRPr lang="en-US" baseline="0"/>
                  </a:p>
                  <a:p>
                    <a:fld id="{28F6326A-D794-44D0-9514-C9E4FB0C9236}" type="VALUE">
                      <a:rPr lang="en-US"/>
                      <a:pPr/>
                      <a:t>[VALUE]</a:t>
                    </a:fld>
                    <a:r>
                      <a:rPr lang="en-US"/>
                      <a:t> ha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C937-4C52-8CB5-E15AC52F21BD}"/>
                </c:ext>
              </c:extLst>
            </c:dLbl>
            <c:dLbl>
              <c:idx val="4"/>
              <c:layout>
                <c:manualLayout>
                  <c:x val="-0.15555555555555556"/>
                  <c:y val="-4.1666666666666706E-2"/>
                </c:manualLayout>
              </c:layout>
              <c:tx>
                <c:rich>
                  <a:bodyPr/>
                  <a:lstStyle/>
                  <a:p>
                    <a:fld id="{9593E59D-E540-4F3C-B5FA-DA9097495FA4}" type="CATEGORYNAME">
                      <a:rPr lang="en-US"/>
                      <a:pPr/>
                      <a:t>[CATEGORY NAME]</a:t>
                    </a:fld>
                    <a:endParaRPr lang="en-US" baseline="0"/>
                  </a:p>
                  <a:p>
                    <a:fld id="{A25498D4-DCA0-4F60-BA32-982D45EA22CF}" type="VALUE">
                      <a:rPr lang="en-US"/>
                      <a:pPr/>
                      <a:t>[VALUE]</a:t>
                    </a:fld>
                    <a:r>
                      <a:rPr lang="en-US"/>
                      <a:t> ha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C937-4C52-8CB5-E15AC52F21BD}"/>
                </c:ext>
              </c:extLst>
            </c:dLbl>
            <c:dLbl>
              <c:idx val="5"/>
              <c:layout>
                <c:manualLayout>
                  <c:x val="-0.12500000000000003"/>
                  <c:y val="-8.7962962962962965E-2"/>
                </c:manualLayout>
              </c:layout>
              <c:tx>
                <c:rich>
                  <a:bodyPr/>
                  <a:lstStyle/>
                  <a:p>
                    <a:fld id="{C66FDB82-B031-4F8C-8B91-18ED9541EE7A}" type="CATEGORYNAME">
                      <a:rPr lang="en-US"/>
                      <a:pPr/>
                      <a:t>[CATEGORY NAME]</a:t>
                    </a:fld>
                    <a:endParaRPr lang="en-US" baseline="0"/>
                  </a:p>
                  <a:p>
                    <a:fld id="{B4F70C56-8BE4-4A9A-9DDB-D38F9BF1FEAD}" type="VALUE">
                      <a:rPr lang="en-US"/>
                      <a:pPr/>
                      <a:t>[VALUE]</a:t>
                    </a:fld>
                    <a:r>
                      <a:rPr lang="en-US"/>
                      <a:t> ha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C937-4C52-8CB5-E15AC52F21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'[1] Area by products'!$R$33:$R$38</c:f>
              <c:strCache>
                <c:ptCount val="6"/>
                <c:pt idx="0">
                  <c:v>Roses </c:v>
                </c:pt>
                <c:pt idx="1">
                  <c:v>Hydrangea</c:v>
                </c:pt>
                <c:pt idx="2">
                  <c:v>Chrysanthemums</c:v>
                </c:pt>
                <c:pt idx="3">
                  <c:v>Carnations</c:v>
                </c:pt>
                <c:pt idx="4">
                  <c:v>Alstromeria</c:v>
                </c:pt>
                <c:pt idx="5">
                  <c:v>Others</c:v>
                </c:pt>
              </c:strCache>
            </c:strRef>
          </c:cat>
          <c:val>
            <c:numRef>
              <c:f>'Colombia_34-37'!$I$59:$I$64</c:f>
              <c:numCache>
                <c:formatCode>0</c:formatCode>
                <c:ptCount val="6"/>
                <c:pt idx="0">
                  <c:v>3230</c:v>
                </c:pt>
                <c:pt idx="1">
                  <c:v>1734</c:v>
                </c:pt>
                <c:pt idx="2">
                  <c:v>1206</c:v>
                </c:pt>
                <c:pt idx="3">
                  <c:v>1487</c:v>
                </c:pt>
                <c:pt idx="4">
                  <c:v>326</c:v>
                </c:pt>
                <c:pt idx="5">
                  <c:v>2517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937-4C52-8CB5-E15AC52F21B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49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98009131495219"/>
          <c:y val="0.13684695187175117"/>
          <c:w val="0.79617709361892464"/>
          <c:h val="0.692747577511901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'Colombia_34-37'!$K$135</c:f>
              <c:strCache>
                <c:ptCount val="1"/>
                <c:pt idx="0">
                  <c:v>Value in 1 000 EUR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'Colombia_34-37'!$C$101:$M$101</c15:sqref>
                  </c15:fullRef>
                </c:ext>
              </c:extLst>
              <c:f>'Colombia_34-37'!$C$101:$L$101</c:f>
              <c:numCache>
                <c:formatCode>General</c:formatCode>
                <c:ptCount val="10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'Colombia_34-37'!$C$106:$M$106</c15:sqref>
                  </c15:fullRef>
                </c:ext>
              </c:extLst>
              <c:f>'Colombia_34-37'!$C$106:$L$106</c:f>
              <c:numCache>
                <c:formatCode>###\ ###\ ###</c:formatCode>
                <c:ptCount val="10"/>
                <c:pt idx="0">
                  <c:v>2204729</c:v>
                </c:pt>
                <c:pt idx="1">
                  <c:v>1955812</c:v>
                </c:pt>
                <c:pt idx="2">
                  <c:v>1989917</c:v>
                </c:pt>
                <c:pt idx="3">
                  <c:v>1484453</c:v>
                </c:pt>
                <c:pt idx="4">
                  <c:v>1254054</c:v>
                </c:pt>
                <c:pt idx="5">
                  <c:v>1335990</c:v>
                </c:pt>
                <c:pt idx="6">
                  <c:v>1251403</c:v>
                </c:pt>
                <c:pt idx="7">
                  <c:v>1254429</c:v>
                </c:pt>
                <c:pt idx="8">
                  <c:v>1200417</c:v>
                </c:pt>
                <c:pt idx="9">
                  <c:v>1179439.4583145562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6D-4D5C-B2DB-12363BECA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9944584"/>
        <c:axId val="519940272"/>
      </c:barChart>
      <c:lineChart>
        <c:grouping val="standard"/>
        <c:varyColors val="0"/>
        <c:ser>
          <c:idx val="1"/>
          <c:order val="1"/>
          <c:tx>
            <c:strRef>
              <c:f>'Colombia_34-37'!$K$136</c:f>
              <c:strCache>
                <c:ptCount val="1"/>
                <c:pt idx="0">
                  <c:v>Quantity in tons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[1]Trade_overview!$C$40:$N$40</c15:sqref>
                  </c15:fullRef>
                </c:ext>
              </c:extLst>
              <c:f>([1]Trade_overview!$C$40:$L$40,[1]Trade_overview!$N$40)</c:f>
              <c:numCache>
                <c:formatCode>General</c:formatCode>
                <c:ptCount val="11"/>
                <c:pt idx="0">
                  <c:v>2020</c:v>
                </c:pt>
                <c:pt idx="1">
                  <c:v>2019</c:v>
                </c:pt>
                <c:pt idx="2">
                  <c:v>2018</c:v>
                </c:pt>
                <c:pt idx="3">
                  <c:v>2017</c:v>
                </c:pt>
                <c:pt idx="4">
                  <c:v>2016</c:v>
                </c:pt>
                <c:pt idx="5">
                  <c:v>2015</c:v>
                </c:pt>
                <c:pt idx="6">
                  <c:v>2014</c:v>
                </c:pt>
                <c:pt idx="7">
                  <c:v>2013</c:v>
                </c:pt>
                <c:pt idx="8">
                  <c:v>2012</c:v>
                </c:pt>
                <c:pt idx="9">
                  <c:v>2011</c:v>
                </c:pt>
                <c:pt idx="10">
                  <c:v>2009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'Colombia_34-37'!$C$116:$M$116</c15:sqref>
                  </c15:fullRef>
                </c:ext>
              </c:extLst>
              <c:f>'Colombia_34-37'!$C$116:$L$116</c:f>
              <c:numCache>
                <c:formatCode>###\ ###\ ###</c:formatCode>
                <c:ptCount val="10"/>
                <c:pt idx="0">
                  <c:v>333980</c:v>
                </c:pt>
                <c:pt idx="1">
                  <c:v>311496</c:v>
                </c:pt>
                <c:pt idx="2">
                  <c:v>320919</c:v>
                </c:pt>
                <c:pt idx="3">
                  <c:v>299739</c:v>
                </c:pt>
                <c:pt idx="4">
                  <c:v>250407</c:v>
                </c:pt>
                <c:pt idx="5">
                  <c:v>261290</c:v>
                </c:pt>
                <c:pt idx="6">
                  <c:v>259862</c:v>
                </c:pt>
                <c:pt idx="7">
                  <c:v>248403</c:v>
                </c:pt>
                <c:pt idx="8">
                  <c:v>236786</c:v>
                </c:pt>
                <c:pt idx="9">
                  <c:v>223949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6D-4D5C-B2DB-12363BECA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939488"/>
        <c:axId val="519937528"/>
      </c:lineChart>
      <c:catAx>
        <c:axId val="519944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19940272"/>
        <c:crosses val="autoZero"/>
        <c:auto val="1"/>
        <c:lblAlgn val="ctr"/>
        <c:lblOffset val="100"/>
        <c:noMultiLvlLbl val="0"/>
      </c:catAx>
      <c:valAx>
        <c:axId val="519940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\ ###\ ###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19944584"/>
        <c:crosses val="autoZero"/>
        <c:crossBetween val="between"/>
      </c:valAx>
      <c:valAx>
        <c:axId val="519937528"/>
        <c:scaling>
          <c:orientation val="minMax"/>
        </c:scaling>
        <c:delete val="0"/>
        <c:axPos val="r"/>
        <c:numFmt formatCode="###\ ###\ ###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19939488"/>
        <c:crosses val="max"/>
        <c:crossBetween val="between"/>
      </c:valAx>
      <c:catAx>
        <c:axId val="5199394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99375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42939974359202"/>
          <c:y val="0.14439772761045264"/>
          <c:w val="0.55914100373001796"/>
          <c:h val="0.79666307972597195"/>
        </c:manualLayout>
      </c:layout>
      <c:doughnutChart>
        <c:varyColors val="1"/>
        <c:ser>
          <c:idx val="0"/>
          <c:order val="0"/>
          <c:tx>
            <c:strRef>
              <c:f>'Ecuador_43-46'!$V$27</c:f>
              <c:strCache>
                <c:ptCount val="1"/>
                <c:pt idx="0">
                  <c:v>2024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59C-48CF-B0A0-323DB814459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59C-48CF-B0A0-323DB814459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59C-48CF-B0A0-323DB814459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59C-48CF-B0A0-323DB814459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59C-48CF-B0A0-323DB8144598}"/>
              </c:ext>
            </c:extLst>
          </c:dPt>
          <c:dPt>
            <c:idx val="5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59C-48CF-B0A0-323DB8144598}"/>
              </c:ext>
            </c:extLst>
          </c:dPt>
          <c:dLbls>
            <c:dLbl>
              <c:idx val="0"/>
              <c:layout>
                <c:manualLayout>
                  <c:x val="0.14166666666666666"/>
                  <c:y val="-7.8703703703703706E-2"/>
                </c:manualLayout>
              </c:layout>
              <c:tx>
                <c:rich>
                  <a:bodyPr/>
                  <a:lstStyle/>
                  <a:p>
                    <a:fld id="{4D42FE9E-F21C-4707-AA88-236D5603FFA0}" type="CATEGORYNAME">
                      <a:rPr lang="en-US"/>
                      <a:pPr/>
                      <a:t>[CATEGORY NAME]</a:t>
                    </a:fld>
                    <a:endParaRPr lang="en-US" baseline="0"/>
                  </a:p>
                  <a:p>
                    <a:fld id="{C9C595CD-7112-43F2-847C-BCFD203F8951}" type="VALUE">
                      <a:rPr lang="en-US"/>
                      <a:pPr/>
                      <a:t>[VALUE]</a:t>
                    </a:fld>
                    <a:r>
                      <a:rPr lang="en-US"/>
                      <a:t> ha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559C-48CF-B0A0-323DB8144598}"/>
                </c:ext>
              </c:extLst>
            </c:dLbl>
            <c:dLbl>
              <c:idx val="1"/>
              <c:layout>
                <c:manualLayout>
                  <c:x val="0.15183995601600267"/>
                  <c:y val="-6.4814733450705528E-2"/>
                </c:manualLayout>
              </c:layout>
              <c:tx>
                <c:rich>
                  <a:bodyPr/>
                  <a:lstStyle/>
                  <a:p>
                    <a:fld id="{165607D5-DAA6-4F1A-8AF7-16CABB58AA0B}" type="CATEGORYNAME">
                      <a:rPr lang="en-US"/>
                      <a:pPr/>
                      <a:t>[CATEGORY NAME]</a:t>
                    </a:fld>
                    <a:endParaRPr lang="en-US" baseline="0"/>
                  </a:p>
                  <a:p>
                    <a:fld id="{78CB765B-F4D4-4065-9080-FEB0C41AE973}" type="VALUE">
                      <a:rPr lang="en-US"/>
                      <a:pPr/>
                      <a:t>[VALUE]</a:t>
                    </a:fld>
                    <a:r>
                      <a:rPr lang="en-US"/>
                      <a:t> ha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559C-48CF-B0A0-323DB8144598}"/>
                </c:ext>
              </c:extLst>
            </c:dLbl>
            <c:dLbl>
              <c:idx val="2"/>
              <c:layout>
                <c:manualLayout>
                  <c:x val="0.16114443135491924"/>
                  <c:y val="-2.4040177003848574E-3"/>
                </c:manualLayout>
              </c:layout>
              <c:tx>
                <c:rich>
                  <a:bodyPr/>
                  <a:lstStyle/>
                  <a:p>
                    <a:fld id="{4A4E7BAA-54E8-49EF-8D28-CC196E3E2E59}" type="CATEGORYNAME">
                      <a:rPr lang="en-US"/>
                      <a:pPr/>
                      <a:t>[CATEGORY NAME]</a:t>
                    </a:fld>
                    <a:endParaRPr lang="en-US" baseline="0"/>
                  </a:p>
                  <a:p>
                    <a:fld id="{0A007DC9-38A0-4B01-BC26-596CF97397B3}" type="VALUE">
                      <a:rPr lang="en-US"/>
                      <a:pPr/>
                      <a:t>[VALUE]</a:t>
                    </a:fld>
                    <a:r>
                      <a:rPr lang="en-US"/>
                      <a:t> ha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559C-48CF-B0A0-323DB8144598}"/>
                </c:ext>
              </c:extLst>
            </c:dLbl>
            <c:dLbl>
              <c:idx val="3"/>
              <c:layout>
                <c:manualLayout>
                  <c:x val="0.15977217196760476"/>
                  <c:y val="4.6296270005638941E-2"/>
                </c:manualLayout>
              </c:layout>
              <c:tx>
                <c:rich>
                  <a:bodyPr/>
                  <a:lstStyle/>
                  <a:p>
                    <a:fld id="{99C4C82A-FD22-4253-A9EB-B5CB8CD04141}" type="CATEGORYNAME">
                      <a:rPr lang="en-US"/>
                      <a:pPr/>
                      <a:t>[CATEGORY NAME]</a:t>
                    </a:fld>
                    <a:endParaRPr lang="en-US" baseline="0"/>
                  </a:p>
                  <a:p>
                    <a:fld id="{AAA5F051-342B-4526-91C4-6A2D0FEB6669}" type="VALUE">
                      <a:rPr lang="en-US"/>
                      <a:pPr/>
                      <a:t>[VALUE]</a:t>
                    </a:fld>
                    <a:r>
                      <a:rPr lang="en-US"/>
                      <a:t> ha 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559C-48CF-B0A0-323DB8144598}"/>
                </c:ext>
              </c:extLst>
            </c:dLbl>
            <c:dLbl>
              <c:idx val="4"/>
              <c:layout>
                <c:manualLayout>
                  <c:x val="0.14070413125225859"/>
                  <c:y val="0.15277778566497496"/>
                </c:manualLayout>
              </c:layout>
              <c:tx>
                <c:rich>
                  <a:bodyPr/>
                  <a:lstStyle/>
                  <a:p>
                    <a:fld id="{593415BA-B39B-47AA-8197-AF72BDB8E62F}" type="CATEGORYNAME">
                      <a:rPr lang="en-US"/>
                      <a:pPr/>
                      <a:t>[CATEGORY NAME]</a:t>
                    </a:fld>
                    <a:endParaRPr lang="en-US" baseline="0"/>
                  </a:p>
                  <a:p>
                    <a:fld id="{C0E8DE5C-62FC-4A07-86AF-5F44F798696F}" type="VALUE">
                      <a:rPr lang="en-US"/>
                      <a:pPr/>
                      <a:t>[VALUE]</a:t>
                    </a:fld>
                    <a:r>
                      <a:rPr lang="en-US"/>
                      <a:t> ha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559C-48CF-B0A0-323DB8144598}"/>
                </c:ext>
              </c:extLst>
            </c:dLbl>
            <c:dLbl>
              <c:idx val="5"/>
              <c:layout>
                <c:manualLayout>
                  <c:x val="-0.17499999999999999"/>
                  <c:y val="1.157407407407406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E75C04F-CC69-49C7-8321-05D271B51034}" type="CATEGORYNAME">
                      <a:rPr lang="en-US"/>
                      <a:pPr>
                        <a:defRPr/>
                      </a:pPr>
                      <a:t>[CATEGORY NAME]</a:t>
                    </a:fld>
                    <a:endParaRPr lang="en-US" baseline="0"/>
                  </a:p>
                  <a:p>
                    <a:pPr>
                      <a:defRPr/>
                    </a:pPr>
                    <a:fld id="{AED8D186-E9E9-482E-AA5E-D601A8B28BF1}" type="VALUE">
                      <a:rPr lang="en-US"/>
                      <a:pPr>
                        <a:defRPr/>
                      </a:pPr>
                      <a:t>[VALUE]</a:t>
                    </a:fld>
                    <a:r>
                      <a:rPr lang="en-US"/>
                      <a:t> ha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3652777777777778"/>
                      <c:h val="0.1757870370370370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559C-48CF-B0A0-323DB81445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[2]Ecuador!$T$27:$T$32</c:f>
              <c:strCache>
                <c:ptCount val="6"/>
                <c:pt idx="0">
                  <c:v>Other flowers </c:v>
                </c:pt>
                <c:pt idx="1">
                  <c:v>Delphinium</c:v>
                </c:pt>
                <c:pt idx="2">
                  <c:v>Aster</c:v>
                </c:pt>
                <c:pt idx="3">
                  <c:v>Gypsophila</c:v>
                </c:pt>
                <c:pt idx="4">
                  <c:v>Hypericum</c:v>
                </c:pt>
                <c:pt idx="5">
                  <c:v>Roses</c:v>
                </c:pt>
              </c:strCache>
            </c:strRef>
          </c:cat>
          <c:val>
            <c:numRef>
              <c:f>'Ecuador_43-46'!$V$28:$V$33</c:f>
              <c:numCache>
                <c:formatCode>#\ ##0</c:formatCode>
                <c:ptCount val="6"/>
                <c:pt idx="0" formatCode="##\ ###">
                  <c:v>1527</c:v>
                </c:pt>
                <c:pt idx="1">
                  <c:v>14</c:v>
                </c:pt>
                <c:pt idx="2">
                  <c:v>6</c:v>
                </c:pt>
                <c:pt idx="3">
                  <c:v>113</c:v>
                </c:pt>
                <c:pt idx="4">
                  <c:v>56</c:v>
                </c:pt>
                <c:pt idx="5">
                  <c:v>5480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59C-48CF-B0A0-323DB8144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1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459185618557457"/>
          <c:y val="2.7835768963117607E-2"/>
          <c:w val="0.58179119005214575"/>
          <c:h val="0.9081976339596381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'France_45-49'!$E$156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4.7200398832827457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65-4599-8DB1-3A600E9AB0EF}"/>
                </c:ext>
              </c:extLst>
            </c:dLbl>
            <c:dLbl>
              <c:idx val="1"/>
              <c:layout>
                <c:manualLayout>
                  <c:x val="6.2009853516913738E-2"/>
                  <c:y val="2.783576896311760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65-4599-8DB1-3A600E9AB0EF}"/>
                </c:ext>
              </c:extLst>
            </c:dLbl>
            <c:dLbl>
              <c:idx val="2"/>
              <c:layout>
                <c:manualLayout>
                  <c:x val="7.3974984970454113E-2"/>
                  <c:y val="-1.0206330715406424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65-4599-8DB1-3A600E9AB0EF}"/>
                </c:ext>
              </c:extLst>
            </c:dLbl>
            <c:dLbl>
              <c:idx val="3"/>
              <c:layout>
                <c:manualLayout>
                  <c:x val="9.3549465534685197E-2"/>
                  <c:y val="5.567153792623521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65-4599-8DB1-3A600E9AB0EF}"/>
                </c:ext>
              </c:extLst>
            </c:dLbl>
            <c:dLbl>
              <c:idx val="4"/>
              <c:layout>
                <c:manualLayout>
                  <c:x val="0.10800231674951238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65-4599-8DB1-3A600E9AB0EF}"/>
                </c:ext>
              </c:extLst>
            </c:dLbl>
            <c:dLbl>
              <c:idx val="5"/>
              <c:layout>
                <c:manualLayout>
                  <c:x val="0.1239742518218742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65-4599-8DB1-3A600E9AB0EF}"/>
                </c:ext>
              </c:extLst>
            </c:dLbl>
            <c:dLbl>
              <c:idx val="6"/>
              <c:layout>
                <c:manualLayout>
                  <c:x val="0.11541240370426292"/>
                  <c:y val="-3.4164701299630616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65-4599-8DB1-3A600E9AB0EF}"/>
                </c:ext>
              </c:extLst>
            </c:dLbl>
            <c:dLbl>
              <c:idx val="7"/>
              <c:layout>
                <c:manualLayout>
                  <c:x val="0.1346686817143525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665-4599-8DB1-3A600E9AB0EF}"/>
                </c:ext>
              </c:extLst>
            </c:dLbl>
            <c:dLbl>
              <c:idx val="8"/>
              <c:layout>
                <c:manualLayout>
                  <c:x val="0.181569991805376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665-4599-8DB1-3A600E9AB0EF}"/>
                </c:ext>
              </c:extLst>
            </c:dLbl>
            <c:dLbl>
              <c:idx val="9"/>
              <c:layout>
                <c:manualLayout>
                  <c:x val="0.28916772026589288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27-4F71-BA8D-A8B124BDD8F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'France_45-49'!$B$157:$B$167</c:f>
              <c:strCache>
                <c:ptCount val="10"/>
                <c:pt idx="0">
                  <c:v>Young plants (bedding plants)</c:v>
                </c:pt>
                <c:pt idx="1">
                  <c:v>Bulbs</c:v>
                </c:pt>
                <c:pt idx="2">
                  <c:v>Young plants (Pot, bedding plants) </c:v>
                </c:pt>
                <c:pt idx="3">
                  <c:v>Young plants (Nursery stock)</c:v>
                </c:pt>
                <c:pt idx="4">
                  <c:v>Perennials </c:v>
                </c:pt>
                <c:pt idx="5">
                  <c:v>Cut flowers</c:v>
                </c:pt>
                <c:pt idx="6">
                  <c:v>Others</c:v>
                </c:pt>
                <c:pt idx="7">
                  <c:v>Bedding plants</c:v>
                </c:pt>
                <c:pt idx="8">
                  <c:v>Pot plants</c:v>
                </c:pt>
                <c:pt idx="9">
                  <c:v>Nursery stock</c:v>
                </c:pt>
              </c:strCache>
            </c:strRef>
          </c:cat>
          <c:val>
            <c:numRef>
              <c:f>'France_45-49'!$E$157:$E$167</c:f>
              <c:numCache>
                <c:formatCode>General</c:formatCode>
                <c:ptCount val="11"/>
                <c:pt idx="0">
                  <c:v>14</c:v>
                </c:pt>
                <c:pt idx="1">
                  <c:v>18</c:v>
                </c:pt>
                <c:pt idx="2">
                  <c:v>25</c:v>
                </c:pt>
                <c:pt idx="3">
                  <c:v>69</c:v>
                </c:pt>
                <c:pt idx="4">
                  <c:v>106</c:v>
                </c:pt>
                <c:pt idx="5">
                  <c:v>137</c:v>
                </c:pt>
                <c:pt idx="6">
                  <c:v>130</c:v>
                </c:pt>
                <c:pt idx="7">
                  <c:v>180</c:v>
                </c:pt>
                <c:pt idx="8">
                  <c:v>282</c:v>
                </c:pt>
                <c:pt idx="9">
                  <c:v>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665-4599-8DB1-3A600E9AB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19943016"/>
        <c:axId val="519938704"/>
      </c:barChart>
      <c:catAx>
        <c:axId val="5199430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519938704"/>
        <c:crosses val="autoZero"/>
        <c:auto val="1"/>
        <c:lblAlgn val="ctr"/>
        <c:lblOffset val="100"/>
        <c:noMultiLvlLbl val="0"/>
      </c:catAx>
      <c:valAx>
        <c:axId val="51993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519943016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08827459170569"/>
          <c:y val="0.20132161445920954"/>
          <c:w val="0.47672984040092187"/>
          <c:h val="0.70066589133985369"/>
        </c:manualLayout>
      </c:layout>
      <c:pieChart>
        <c:varyColors val="1"/>
        <c:ser>
          <c:idx val="0"/>
          <c:order val="0"/>
          <c:tx>
            <c:strRef>
              <c:f>'Germany_50-56'!$E$354</c:f>
              <c:strCache>
                <c:ptCount val="1"/>
                <c:pt idx="0">
                  <c:v>2024</c:v>
                </c:pt>
              </c:strCache>
            </c:strRef>
          </c:tx>
          <c:explosion val="1"/>
          <c:dPt>
            <c:idx val="0"/>
            <c:bubble3D val="0"/>
            <c:explosion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071-4565-9828-03294B42A85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071-4565-9828-03294B42A85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071-4565-9828-03294B42A85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071-4565-9828-03294B42A85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071-4565-9828-03294B42A85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071-4565-9828-03294B42A85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071-4565-9828-03294B42A85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071-4565-9828-03294B42A852}"/>
              </c:ext>
            </c:extLst>
          </c:dPt>
          <c:dLbls>
            <c:dLbl>
              <c:idx val="0"/>
              <c:layout>
                <c:manualLayout>
                  <c:x val="5.0993477056686026E-2"/>
                  <c:y val="-1.7245461163191103E-2"/>
                </c:manualLayout>
              </c:layout>
              <c:tx>
                <c:rich>
                  <a:bodyPr/>
                  <a:lstStyle/>
                  <a:p>
                    <a:fld id="{EF5F77D4-6FE2-4405-B117-1BB65F78CA58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</a:p>
                  <a:p>
                    <a:fld id="{BA25BACE-FC8A-4102-BDF8-A3149605AAF8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 billion EUR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1071-4565-9828-03294B42A852}"/>
                </c:ext>
              </c:extLst>
            </c:dLbl>
            <c:dLbl>
              <c:idx val="1"/>
              <c:layout>
                <c:manualLayout>
                  <c:x val="6.1246647708977003E-2"/>
                  <c:y val="-1.0367978925048451E-2"/>
                </c:manualLayout>
              </c:layout>
              <c:tx>
                <c:rich>
                  <a:bodyPr/>
                  <a:lstStyle/>
                  <a:p>
                    <a:fld id="{3AD0F961-4FB6-412B-A151-3B280B245E7C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</a:p>
                  <a:p>
                    <a:fld id="{0B9FF204-5AFC-44D5-AEAA-8D8417B9F7E4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 billion EUR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1071-4565-9828-03294B42A852}"/>
                </c:ext>
              </c:extLst>
            </c:dLbl>
            <c:dLbl>
              <c:idx val="2"/>
              <c:layout>
                <c:manualLayout>
                  <c:x val="-4.4983839230231762E-4"/>
                  <c:y val="2.2958179603836955E-2"/>
                </c:manualLayout>
              </c:layout>
              <c:tx>
                <c:rich>
                  <a:bodyPr/>
                  <a:lstStyle/>
                  <a:p>
                    <a:fld id="{424FE999-1AB5-4C61-9E23-F1F5F1408CB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  <a:fld id="{FA128FA8-4D7D-43F3-BC4F-A39C4451EB59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 billion EUR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1071-4565-9828-03294B42A852}"/>
                </c:ext>
              </c:extLst>
            </c:dLbl>
            <c:dLbl>
              <c:idx val="3"/>
              <c:layout>
                <c:manualLayout>
                  <c:x val="-6.8665568369028013E-2"/>
                  <c:y val="-0.10098008935323763"/>
                </c:manualLayout>
              </c:layout>
              <c:tx>
                <c:rich>
                  <a:bodyPr/>
                  <a:lstStyle/>
                  <a:p>
                    <a:fld id="{B0B0EF47-29E3-4026-81FE-199FDAFDEC03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</a:p>
                  <a:p>
                    <a:fld id="{11F0EC30-A500-470C-8A74-5F9E0124638B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 billion EUR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1071-4565-9828-03294B42A852}"/>
                </c:ext>
              </c:extLst>
            </c:dLbl>
            <c:dLbl>
              <c:idx val="4"/>
              <c:layout>
                <c:manualLayout>
                  <c:x val="-1.2114828315323836E-2"/>
                  <c:y val="1.5067523339243612E-2"/>
                </c:manualLayout>
              </c:layout>
              <c:tx>
                <c:rich>
                  <a:bodyPr/>
                  <a:lstStyle/>
                  <a:p>
                    <a:fld id="{DDEC215B-621A-421B-A9E9-A87504016E30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</a:p>
                  <a:p>
                    <a:fld id="{EDDF4B9F-7478-45C7-B442-896BDAF0EA6F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 billion EUR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1071-4565-9828-03294B42A85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EF50DB05-D4D3-4BE7-8930-C9E300D1DE37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</a:p>
                  <a:p>
                    <a:fld id="{00E9361D-A5FD-430F-B52D-D768240167F8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 billion EUR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1071-4565-9828-03294B42A852}"/>
                </c:ext>
              </c:extLst>
            </c:dLbl>
            <c:dLbl>
              <c:idx val="6"/>
              <c:layout>
                <c:manualLayout>
                  <c:x val="1.9345604863642456E-4"/>
                  <c:y val="9.2962955901698726E-3"/>
                </c:manualLayout>
              </c:layout>
              <c:tx>
                <c:rich>
                  <a:bodyPr/>
                  <a:lstStyle/>
                  <a:p>
                    <a:fld id="{16754B27-22B4-4B7E-B872-6BA16A7B448D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</a:p>
                  <a:p>
                    <a:fld id="{4116B20A-DB6D-4D22-8154-5BA494E7EB90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 billion EUR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1071-4565-9828-03294B42A852}"/>
                </c:ext>
              </c:extLst>
            </c:dLbl>
            <c:dLbl>
              <c:idx val="7"/>
              <c:layout>
                <c:manualLayout>
                  <c:x val="0.15103754534801767"/>
                  <c:y val="-1.0228212998798879E-2"/>
                </c:manualLayout>
              </c:layout>
              <c:tx>
                <c:rich>
                  <a:bodyPr/>
                  <a:lstStyle/>
                  <a:p>
                    <a:fld id="{C5C53628-7AA1-4199-8C8D-68DF3C16F542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</a:p>
                  <a:p>
                    <a:fld id="{1F9EB97B-3A38-4B94-BC4A-C9C0488EF818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 billion EUR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1071-4565-9828-03294B42A8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'Germany_50-56'!$B$355:$B$362</c:f>
              <c:strCache>
                <c:ptCount val="8"/>
                <c:pt idx="0">
                  <c:v>Cut flowers</c:v>
                </c:pt>
                <c:pt idx="1">
                  <c:v>     Flowering indoor plants</c:v>
                </c:pt>
                <c:pt idx="2">
                  <c:v>     Green indoor plants</c:v>
                </c:pt>
                <c:pt idx="3">
                  <c:v>   Bedding plants </c:v>
                </c:pt>
                <c:pt idx="4">
                  <c:v>   Perennials </c:v>
                </c:pt>
                <c:pt idx="5">
                  <c:v>   Herbs in pots</c:v>
                </c:pt>
                <c:pt idx="6">
                  <c:v>   Trees and shrubs</c:v>
                </c:pt>
                <c:pt idx="7">
                  <c:v>   Bulbs</c:v>
                </c:pt>
              </c:strCache>
            </c:strRef>
          </c:cat>
          <c:val>
            <c:numRef>
              <c:f>'Germany_50-56'!$E$355:$E$362</c:f>
              <c:numCache>
                <c:formatCode>General</c:formatCode>
                <c:ptCount val="8"/>
                <c:pt idx="0">
                  <c:v>3</c:v>
                </c:pt>
                <c:pt idx="1">
                  <c:v>1</c:v>
                </c:pt>
                <c:pt idx="2">
                  <c:v>0.5</c:v>
                </c:pt>
                <c:pt idx="3">
                  <c:v>1.7</c:v>
                </c:pt>
                <c:pt idx="4">
                  <c:v>0.7</c:v>
                </c:pt>
                <c:pt idx="5">
                  <c:v>0.3</c:v>
                </c:pt>
                <c:pt idx="6">
                  <c:v>1.3</c:v>
                </c:pt>
                <c:pt idx="7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071-4565-9828-03294B42A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98009131495219"/>
          <c:y val="0.13684695187175117"/>
          <c:w val="0.79617709361892464"/>
          <c:h val="0.692747577511901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Guatemala!$J$94</c:f>
              <c:strCache>
                <c:ptCount val="1"/>
                <c:pt idx="0">
                  <c:v>Value in 1 000 EUR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Guatemala!$K$93:$U$93</c15:sqref>
                  </c15:fullRef>
                </c:ext>
              </c:extLst>
              <c:f>Guatemala!$K$93:$T$93</c:f>
              <c:numCache>
                <c:formatCode>General</c:formatCode>
                <c:ptCount val="10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Guatemala!$K$94:$U$94</c15:sqref>
                  </c15:fullRef>
                </c:ext>
              </c:extLst>
              <c:f>Guatemala!$K$94:$T$94</c:f>
              <c:numCache>
                <c:formatCode>###\ ###\ ###</c:formatCode>
                <c:ptCount val="10"/>
                <c:pt idx="0">
                  <c:v>32176</c:v>
                </c:pt>
                <c:pt idx="1">
                  <c:v>30234</c:v>
                </c:pt>
                <c:pt idx="2">
                  <c:v>29332</c:v>
                </c:pt>
                <c:pt idx="3" formatCode="General">
                  <c:v>22675</c:v>
                </c:pt>
                <c:pt idx="4" formatCode="General">
                  <c:v>15244</c:v>
                </c:pt>
                <c:pt idx="5" formatCode="General">
                  <c:v>18302</c:v>
                </c:pt>
                <c:pt idx="6" formatCode="General">
                  <c:v>17120</c:v>
                </c:pt>
                <c:pt idx="7" formatCode="General">
                  <c:v>16236</c:v>
                </c:pt>
                <c:pt idx="8" formatCode="General">
                  <c:v>15923</c:v>
                </c:pt>
                <c:pt idx="9" formatCode="General">
                  <c:v>12239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6D-4D5C-B2DB-12363BECA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9943800"/>
        <c:axId val="519937136"/>
      </c:barChart>
      <c:lineChart>
        <c:grouping val="standard"/>
        <c:varyColors val="0"/>
        <c:ser>
          <c:idx val="1"/>
          <c:order val="1"/>
          <c:tx>
            <c:strRef>
              <c:f>Guatemala!$J$95</c:f>
              <c:strCache>
                <c:ptCount val="1"/>
                <c:pt idx="0">
                  <c:v>Quantity in tons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[3]Guatemala!$K$93:$U$93</c15:sqref>
                  </c15:fullRef>
                </c:ext>
              </c:extLst>
              <c:f>[3]Guatemala!$K$93:$T$93</c:f>
              <c:numCache>
                <c:formatCode>General</c:formatCode>
                <c:ptCount val="10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  <c:pt idx="6">
                  <c:v>2015</c:v>
                </c:pt>
                <c:pt idx="7">
                  <c:v>2014</c:v>
                </c:pt>
                <c:pt idx="8">
                  <c:v>2013</c:v>
                </c:pt>
                <c:pt idx="9">
                  <c:v>2012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Guatemala!$K$95:$U$95</c15:sqref>
                  </c15:fullRef>
                </c:ext>
              </c:extLst>
              <c:f>Guatemala!$K$95:$T$95</c:f>
              <c:numCache>
                <c:formatCode>###\ ###\ ###</c:formatCode>
                <c:ptCount val="10"/>
                <c:pt idx="0">
                  <c:v>23875</c:v>
                </c:pt>
                <c:pt idx="1">
                  <c:v>23276</c:v>
                </c:pt>
                <c:pt idx="2">
                  <c:v>20842</c:v>
                </c:pt>
                <c:pt idx="3" formatCode="General">
                  <c:v>18144</c:v>
                </c:pt>
                <c:pt idx="4" formatCode="General">
                  <c:v>7572</c:v>
                </c:pt>
                <c:pt idx="5" formatCode="General">
                  <c:v>9464</c:v>
                </c:pt>
                <c:pt idx="6" formatCode="General">
                  <c:v>6997</c:v>
                </c:pt>
                <c:pt idx="7" formatCode="General">
                  <c:v>5292</c:v>
                </c:pt>
                <c:pt idx="8" formatCode="General">
                  <c:v>5885</c:v>
                </c:pt>
                <c:pt idx="9" formatCode="General">
                  <c:v>3524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6D-4D5C-B2DB-12363BECA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207584"/>
        <c:axId val="519937920"/>
      </c:lineChart>
      <c:catAx>
        <c:axId val="519943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19937136"/>
        <c:crosses val="autoZero"/>
        <c:auto val="1"/>
        <c:lblAlgn val="ctr"/>
        <c:lblOffset val="100"/>
        <c:noMultiLvlLbl val="0"/>
      </c:catAx>
      <c:valAx>
        <c:axId val="519937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\ ###\ ###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19943800"/>
        <c:crosses val="autoZero"/>
        <c:crossBetween val="between"/>
      </c:valAx>
      <c:valAx>
        <c:axId val="519937920"/>
        <c:scaling>
          <c:orientation val="minMax"/>
        </c:scaling>
        <c:delete val="0"/>
        <c:axPos val="r"/>
        <c:numFmt formatCode="###\ ###\ ###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73207584"/>
        <c:crosses val="max"/>
        <c:crossBetween val="between"/>
      </c:valAx>
      <c:catAx>
        <c:axId val="4732075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99379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40658778273302"/>
          <c:y val="0.23493102297557886"/>
          <c:w val="0.50672865273602774"/>
          <c:h val="0.74007548153546265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4D4-41E2-A27D-33B4CEF7791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4D4-41E2-A27D-33B4CEF7791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4D4-41E2-A27D-33B4CEF7791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4D4-41E2-A27D-33B4CEF7791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4D4-41E2-A27D-33B4CEF7791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4D4-41E2-A27D-33B4CEF7791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4D4-41E2-A27D-33B4CEF7791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4D4-41E2-A27D-33B4CEF77916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F4D4-41E2-A27D-33B4CEF77916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F4D4-41E2-A27D-33B4CEF7791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F4D4-41E2-A27D-33B4CEF77916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F4D4-41E2-A27D-33B4CEF77916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F4D4-41E2-A27D-33B4CEF77916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F4D4-41E2-A27D-33B4CEF77916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F4D4-41E2-A27D-33B4CEF77916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F4D4-41E2-A27D-33B4CEF77916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F4D4-41E2-A27D-33B4CEF77916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F4D4-41E2-A27D-33B4CEF77916}"/>
              </c:ext>
            </c:extLst>
          </c:dPt>
          <c:dLbls>
            <c:dLbl>
              <c:idx val="1"/>
              <c:layout>
                <c:manualLayout>
                  <c:x val="0.17718768748361549"/>
                  <c:y val="-6.6423814723788638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D4-41E2-A27D-33B4CEF77916}"/>
                </c:ext>
              </c:extLst>
            </c:dLbl>
            <c:dLbl>
              <c:idx val="2"/>
              <c:layout>
                <c:manualLayout>
                  <c:x val="8.6553323029366303E-2"/>
                  <c:y val="-2.407825432656132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4D4-41E2-A27D-33B4CEF77916}"/>
                </c:ext>
              </c:extLst>
            </c:dLbl>
            <c:dLbl>
              <c:idx val="3"/>
              <c:layout>
                <c:manualLayout>
                  <c:x val="9.0674909840288517E-2"/>
                  <c:y val="-6.0195635816403309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4D4-41E2-A27D-33B4CEF77916}"/>
                </c:ext>
              </c:extLst>
            </c:dLbl>
            <c:dLbl>
              <c:idx val="4"/>
              <c:layout>
                <c:manualLayout>
                  <c:x val="0.12982998454404945"/>
                  <c:y val="1.805869074492099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4D4-41E2-A27D-33B4CEF77916}"/>
                </c:ext>
              </c:extLst>
            </c:dLbl>
            <c:dLbl>
              <c:idx val="5"/>
              <c:layout>
                <c:manualLayout>
                  <c:x val="0.14425553838227717"/>
                  <c:y val="6.019563581640319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4D4-41E2-A27D-33B4CEF77916}"/>
                </c:ext>
              </c:extLst>
            </c:dLbl>
            <c:dLbl>
              <c:idx val="6"/>
              <c:layout>
                <c:manualLayout>
                  <c:x val="0.10374002208530229"/>
                  <c:y val="0.11446015252648868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4D4-41E2-A27D-33B4CEF77916}"/>
                </c:ext>
              </c:extLst>
            </c:dLbl>
            <c:dLbl>
              <c:idx val="7"/>
              <c:layout>
                <c:manualLayout>
                  <c:x val="0.10252906949144001"/>
                  <c:y val="0.1019816606441911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4D4-41E2-A27D-33B4CEF77916}"/>
                </c:ext>
              </c:extLst>
            </c:dLbl>
            <c:dLbl>
              <c:idx val="8"/>
              <c:layout>
                <c:manualLayout>
                  <c:x val="-7.8117201811546716E-2"/>
                  <c:y val="0.12256641686706427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4D4-41E2-A27D-33B4CEF77916}"/>
                </c:ext>
              </c:extLst>
            </c:dLbl>
            <c:dLbl>
              <c:idx val="9"/>
              <c:layout>
                <c:manualLayout>
                  <c:x val="-0.14603608788510314"/>
                  <c:y val="0.14121944877049586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4D4-41E2-A27D-33B4CEF77916}"/>
                </c:ext>
              </c:extLst>
            </c:dLbl>
            <c:dLbl>
              <c:idx val="10"/>
              <c:layout>
                <c:manualLayout>
                  <c:x val="-0.20706612316671452"/>
                  <c:y val="6.00754184972278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4D4-41E2-A27D-33B4CEF77916}"/>
                </c:ext>
              </c:extLst>
            </c:dLbl>
            <c:dLbl>
              <c:idx val="11"/>
              <c:layout>
                <c:manualLayout>
                  <c:x val="-0.16280267903142709"/>
                  <c:y val="-9.0293453724604959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4D4-41E2-A27D-33B4CEF77916}"/>
                </c:ext>
              </c:extLst>
            </c:dLbl>
            <c:dLbl>
              <c:idx val="12"/>
              <c:layout>
                <c:manualLayout>
                  <c:x val="-0.15043791859866049"/>
                  <c:y val="-3.3107599699021821E-2"/>
                </c:manualLayout>
              </c:layout>
              <c:tx>
                <c:rich>
                  <a:bodyPr/>
                  <a:lstStyle/>
                  <a:p>
                    <a:fld id="{48F02750-F081-40F6-864B-F6A268DA6409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969EED9C-F31E-4916-BD81-04F360A7EFF3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 
</a:t>
                    </a:r>
                    <a:fld id="{520700EA-FBD6-4364-9B4C-50D6556942FF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9-F4D4-41E2-A27D-33B4CEF77916}"/>
                </c:ext>
              </c:extLst>
            </c:dLbl>
            <c:dLbl>
              <c:idx val="13"/>
              <c:layout>
                <c:manualLayout>
                  <c:x val="-0.20608555858163705"/>
                  <c:y val="-6.2579443177078628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4D4-41E2-A27D-33B4CEF77916}"/>
                </c:ext>
              </c:extLst>
            </c:dLbl>
            <c:dLbl>
              <c:idx val="14"/>
              <c:layout>
                <c:manualLayout>
                  <c:x val="-0.17310664605873266"/>
                  <c:y val="-7.825432656132433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F4D4-41E2-A27D-33B4CEF77916}"/>
                </c:ext>
              </c:extLst>
            </c:dLbl>
            <c:dLbl>
              <c:idx val="15"/>
              <c:layout>
                <c:manualLayout>
                  <c:x val="-7.4188562596599686E-2"/>
                  <c:y val="-0.1203912716328066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F4D4-41E2-A27D-33B4CEF77916}"/>
                </c:ext>
              </c:extLst>
            </c:dLbl>
            <c:dLbl>
              <c:idx val="16"/>
              <c:layout>
                <c:manualLayout>
                  <c:x val="1.0303967027305513E-2"/>
                  <c:y val="-0.15951843491346879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F4D4-41E2-A27D-33B4CEF77916}"/>
                </c:ext>
              </c:extLst>
            </c:dLbl>
            <c:dLbl>
              <c:idx val="17"/>
              <c:layout>
                <c:manualLayout>
                  <c:x val="0.18547140649149915"/>
                  <c:y val="-0.12942061700526711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F4D4-41E2-A27D-33B4CEF779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[4]Quantity!$A$41:$A$58</c:f>
              <c:strCache>
                <c:ptCount val="18"/>
                <c:pt idx="0">
                  <c:v>2015</c:v>
                </c:pt>
                <c:pt idx="1">
                  <c:v>Chrysanthemums</c:v>
                </c:pt>
                <c:pt idx="2">
                  <c:v>Lilies</c:v>
                </c:pt>
                <c:pt idx="3">
                  <c:v>Roses</c:v>
                </c:pt>
                <c:pt idx="4">
                  <c:v>Carnations</c:v>
                </c:pt>
                <c:pt idx="5">
                  <c:v>Eustoma</c:v>
                </c:pt>
                <c:pt idx="6">
                  <c:v>Cut branches </c:v>
                </c:pt>
                <c:pt idx="7">
                  <c:v>Other cut flowers</c:v>
                </c:pt>
                <c:pt idx="8">
                  <c:v>Tropical orchids</c:v>
                </c:pt>
                <c:pt idx="9">
                  <c:v>Cyclamen </c:v>
                </c:pt>
                <c:pt idx="10">
                  <c:v>flowering trees and shrubs (pot grown) </c:v>
                </c:pt>
                <c:pt idx="11">
                  <c:v>Foiliage plants (pot grown) </c:v>
                </c:pt>
                <c:pt idx="12">
                  <c:v>Other potted plants </c:v>
                </c:pt>
                <c:pt idx="13">
                  <c:v>Seedlings for flowers beds</c:v>
                </c:pt>
                <c:pt idx="14">
                  <c:v>Flowering trees and shrubs </c:v>
                </c:pt>
                <c:pt idx="15">
                  <c:v>Lawn grass</c:v>
                </c:pt>
                <c:pt idx="16">
                  <c:v>Ground covering plants</c:v>
                </c:pt>
                <c:pt idx="17">
                  <c:v>Flower bulbs</c:v>
                </c:pt>
              </c:strCache>
            </c:strRef>
          </c:cat>
          <c:val>
            <c:numRef>
              <c:f>[4]Quantity!$B$41:$B$58</c:f>
              <c:numCache>
                <c:formatCode>General</c:formatCode>
                <c:ptCount val="18"/>
                <c:pt idx="1">
                  <c:v>69.2</c:v>
                </c:pt>
                <c:pt idx="2">
                  <c:v>21.7</c:v>
                </c:pt>
                <c:pt idx="3">
                  <c:v>19</c:v>
                </c:pt>
                <c:pt idx="4">
                  <c:v>12.6</c:v>
                </c:pt>
                <c:pt idx="5">
                  <c:v>11.7</c:v>
                </c:pt>
                <c:pt idx="6">
                  <c:v>15.1</c:v>
                </c:pt>
                <c:pt idx="7">
                  <c:v>68.900000000000006</c:v>
                </c:pt>
                <c:pt idx="8">
                  <c:v>33.299999999999997</c:v>
                </c:pt>
                <c:pt idx="9">
                  <c:v>8.6999999999999993</c:v>
                </c:pt>
                <c:pt idx="10">
                  <c:v>16.8</c:v>
                </c:pt>
                <c:pt idx="11">
                  <c:v>11.3</c:v>
                </c:pt>
                <c:pt idx="12">
                  <c:v>25.8</c:v>
                </c:pt>
                <c:pt idx="13">
                  <c:v>30.2</c:v>
                </c:pt>
                <c:pt idx="14">
                  <c:v>22.6</c:v>
                </c:pt>
                <c:pt idx="15">
                  <c:v>7.3</c:v>
                </c:pt>
                <c:pt idx="16">
                  <c:v>3.2</c:v>
                </c:pt>
                <c:pt idx="17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F4D4-41E2-A27D-33B4CEF77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2</xdr:row>
      <xdr:rowOff>152401</xdr:rowOff>
    </xdr:from>
    <xdr:to>
      <xdr:col>10</xdr:col>
      <xdr:colOff>674370</xdr:colOff>
      <xdr:row>23</xdr:row>
      <xdr:rowOff>116206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31E3DB9-C195-4ADE-AB2A-B91A90FA3B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746" b="13767"/>
        <a:stretch>
          <a:fillRect/>
        </a:stretch>
      </xdr:blipFill>
      <xdr:spPr>
        <a:xfrm>
          <a:off x="807720" y="518161"/>
          <a:ext cx="7772400" cy="3764280"/>
        </a:xfrm>
        <a:prstGeom prst="rect">
          <a:avLst/>
        </a:prstGeom>
      </xdr:spPr>
    </xdr:pic>
    <xdr:clientData/>
  </xdr:twoCellAnchor>
  <xdr:twoCellAnchor editAs="oneCell">
    <xdr:from>
      <xdr:col>0</xdr:col>
      <xdr:colOff>777240</xdr:colOff>
      <xdr:row>26</xdr:row>
      <xdr:rowOff>15241</xdr:rowOff>
    </xdr:from>
    <xdr:to>
      <xdr:col>10</xdr:col>
      <xdr:colOff>647700</xdr:colOff>
      <xdr:row>45</xdr:row>
      <xdr:rowOff>97156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5113FEA9-6C84-4E2B-B86D-6B8E94963A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211" b="14876"/>
        <a:stretch>
          <a:fillRect/>
        </a:stretch>
      </xdr:blipFill>
      <xdr:spPr>
        <a:xfrm>
          <a:off x="777240" y="4770121"/>
          <a:ext cx="7772400" cy="35128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50</xdr:row>
      <xdr:rowOff>167641</xdr:rowOff>
    </xdr:from>
    <xdr:to>
      <xdr:col>10</xdr:col>
      <xdr:colOff>659130</xdr:colOff>
      <xdr:row>68</xdr:row>
      <xdr:rowOff>38101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1B2CB0FC-961F-4C26-B795-046A89E44F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956" b="18203"/>
        <a:stretch>
          <a:fillRect/>
        </a:stretch>
      </xdr:blipFill>
      <xdr:spPr>
        <a:xfrm>
          <a:off x="792480" y="9311641"/>
          <a:ext cx="7772400" cy="31242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760677</xdr:colOff>
      <xdr:row>152</xdr:row>
      <xdr:rowOff>17915</xdr:rowOff>
    </xdr:from>
    <xdr:to>
      <xdr:col>11</xdr:col>
      <xdr:colOff>722445</xdr:colOff>
      <xdr:row>172</xdr:row>
      <xdr:rowOff>104099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503999</xdr:colOff>
      <xdr:row>162</xdr:row>
      <xdr:rowOff>67003</xdr:rowOff>
    </xdr:from>
    <xdr:to>
      <xdr:col>11</xdr:col>
      <xdr:colOff>674447</xdr:colOff>
      <xdr:row>165</xdr:row>
      <xdr:rowOff>1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 txBox="1"/>
      </xdr:nvSpPr>
      <xdr:spPr>
        <a:xfrm>
          <a:off x="9326530" y="31392347"/>
          <a:ext cx="1694448" cy="5044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000">
              <a:latin typeface="Arial" panose="020B0604020202020204" pitchFamily="34" charset="0"/>
              <a:cs typeface="Arial" panose="020B0604020202020204" pitchFamily="34" charset="0"/>
            </a:rPr>
            <a:t>Total</a:t>
          </a:r>
          <a:r>
            <a:rPr lang="de-DE" sz="1000" baseline="0">
              <a:latin typeface="Arial" panose="020B0604020202020204" pitchFamily="34" charset="0"/>
              <a:cs typeface="Arial" panose="020B0604020202020204" pitchFamily="34" charset="0"/>
            </a:rPr>
            <a:t> sales in 2023: </a:t>
          </a:r>
        </a:p>
        <a:p>
          <a:r>
            <a:rPr lang="de-DE" sz="1000" baseline="0">
              <a:latin typeface="Arial" panose="020B0604020202020204" pitchFamily="34" charset="0"/>
              <a:cs typeface="Arial" panose="020B0604020202020204" pitchFamily="34" charset="0"/>
            </a:rPr>
            <a:t>1 488 million EUR</a:t>
          </a:r>
        </a:p>
        <a:p>
          <a:endParaRPr lang="de-DE" sz="100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0.01611</cdr:x>
      <cdr:y>0.93045</cdr:y>
    </cdr:from>
    <cdr:to>
      <cdr:x>0.29764</cdr:x>
      <cdr:y>0.98155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83205" y="3447957"/>
          <a:ext cx="1454024" cy="1893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700">
              <a:latin typeface="Arial" panose="020B0604020202020204" pitchFamily="34" charset="0"/>
              <a:cs typeface="Arial" panose="020B0604020202020204" pitchFamily="34" charset="0"/>
            </a:rPr>
            <a:t>Source: FranceAgriMer, 2025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40928</xdr:colOff>
      <xdr:row>353</xdr:row>
      <xdr:rowOff>67257</xdr:rowOff>
    </xdr:from>
    <xdr:to>
      <xdr:col>14</xdr:col>
      <xdr:colOff>440266</xdr:colOff>
      <xdr:row>378</xdr:row>
      <xdr:rowOff>48208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0.01111</cdr:x>
      <cdr:y>0.93722</cdr:y>
    </cdr:from>
    <cdr:to>
      <cdr:x>0.35378</cdr:x>
      <cdr:y>0.97791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EF10BDFB-087D-4061-9B42-90569ADEA7B5}"/>
            </a:ext>
          </a:extLst>
        </cdr:cNvPr>
        <cdr:cNvSpPr txBox="1"/>
      </cdr:nvSpPr>
      <cdr:spPr>
        <a:xfrm xmlns:a="http://schemas.openxmlformats.org/drawingml/2006/main">
          <a:off x="67827" y="4445680"/>
          <a:ext cx="2092181" cy="1929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800"/>
            <a:t>Source:</a:t>
          </a:r>
          <a:r>
            <a:rPr lang="de-DE" sz="800" baseline="0"/>
            <a:t> AMI GmbH, Germany, 2024</a:t>
          </a:r>
        </a:p>
        <a:p xmlns:a="http://schemas.openxmlformats.org/drawingml/2006/main">
          <a:r>
            <a:rPr lang="de-DE" sz="800" baseline="0"/>
            <a:t>  </a:t>
          </a:r>
          <a:endParaRPr lang="de-DE" sz="800"/>
        </a:p>
      </cdr:txBody>
    </cdr:sp>
  </cdr:relSizeAnchor>
  <cdr:relSizeAnchor xmlns:cdr="http://schemas.openxmlformats.org/drawingml/2006/chartDrawing">
    <cdr:from>
      <cdr:x>0.02636</cdr:x>
      <cdr:y>0.04116</cdr:y>
    </cdr:from>
    <cdr:to>
      <cdr:x>1</cdr:x>
      <cdr:y>0.15739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B0D6D80F-18CB-431D-8790-9F63A80BF5DD}"/>
            </a:ext>
          </a:extLst>
        </cdr:cNvPr>
        <cdr:cNvSpPr txBox="1"/>
      </cdr:nvSpPr>
      <cdr:spPr>
        <a:xfrm xmlns:a="http://schemas.openxmlformats.org/drawingml/2006/main">
          <a:off x="238126" y="161926"/>
          <a:ext cx="5629275" cy="457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1100"/>
        </a:p>
      </cdr:txBody>
    </cdr:sp>
  </cdr:relSizeAnchor>
  <cdr:relSizeAnchor xmlns:cdr="http://schemas.openxmlformats.org/drawingml/2006/chartDrawing">
    <cdr:from>
      <cdr:x>0.04368</cdr:x>
      <cdr:y>0.04217</cdr:y>
    </cdr:from>
    <cdr:to>
      <cdr:x>0.28081</cdr:x>
      <cdr:y>0.10442</cdr:y>
    </cdr:to>
    <cdr:sp macro="" textlink="">
      <cdr:nvSpPr>
        <cdr:cNvPr id="4" name="Textfeld 3">
          <a:extLst xmlns:a="http://schemas.openxmlformats.org/drawingml/2006/main">
            <a:ext uri="{FF2B5EF4-FFF2-40B4-BE49-F238E27FC236}">
              <a16:creationId xmlns:a16="http://schemas.microsoft.com/office/drawing/2014/main" id="{0DDCFCC1-ECB3-4169-AA5A-8615B4C4488B}"/>
            </a:ext>
          </a:extLst>
        </cdr:cNvPr>
        <cdr:cNvSpPr txBox="1"/>
      </cdr:nvSpPr>
      <cdr:spPr>
        <a:xfrm xmlns:a="http://schemas.openxmlformats.org/drawingml/2006/main">
          <a:off x="266700" y="200026"/>
          <a:ext cx="144780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100" b="1">
              <a:latin typeface="Arial" panose="020B0604020202020204" pitchFamily="34" charset="0"/>
              <a:cs typeface="Arial" panose="020B0604020202020204" pitchFamily="34" charset="0"/>
            </a:rPr>
            <a:t>in billion EUR</a:t>
          </a:r>
        </a:p>
      </cdr:txBody>
    </cdr:sp>
  </cdr:relSizeAnchor>
  <cdr:relSizeAnchor xmlns:cdr="http://schemas.openxmlformats.org/drawingml/2006/chartDrawing">
    <cdr:from>
      <cdr:x>0.69929</cdr:x>
      <cdr:y>0.01472</cdr:y>
    </cdr:from>
    <cdr:to>
      <cdr:x>0.9879</cdr:x>
      <cdr:y>0.16456</cdr:y>
    </cdr:to>
    <cdr:sp macro="" textlink="">
      <cdr:nvSpPr>
        <cdr:cNvPr id="5" name="Textfeld 4">
          <a:extLst xmlns:a="http://schemas.openxmlformats.org/drawingml/2006/main">
            <a:ext uri="{FF2B5EF4-FFF2-40B4-BE49-F238E27FC236}">
              <a16:creationId xmlns:a16="http://schemas.microsoft.com/office/drawing/2014/main" id="{8FDE8CDA-CD3D-4AF3-B36D-7D2CFAEE66DD}"/>
            </a:ext>
          </a:extLst>
        </cdr:cNvPr>
        <cdr:cNvSpPr txBox="1"/>
      </cdr:nvSpPr>
      <cdr:spPr>
        <a:xfrm xmlns:a="http://schemas.openxmlformats.org/drawingml/2006/main">
          <a:off x="3839155" y="70628"/>
          <a:ext cx="1584480" cy="7187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050" b="1">
              <a:latin typeface="Arial" panose="020B0604020202020204" pitchFamily="34" charset="0"/>
              <a:cs typeface="Arial" panose="020B0604020202020204" pitchFamily="34" charset="0"/>
            </a:rPr>
            <a:t>Total market value 2024: </a:t>
          </a:r>
        </a:p>
        <a:p xmlns:a="http://schemas.openxmlformats.org/drawingml/2006/main">
          <a:r>
            <a:rPr lang="de-DE" sz="1050" b="1">
              <a:latin typeface="Arial" panose="020B0604020202020204" pitchFamily="34" charset="0"/>
              <a:cs typeface="Arial" panose="020B0604020202020204" pitchFamily="34" charset="0"/>
            </a:rPr>
            <a:t>8,7 billion EUR </a:t>
          </a:r>
        </a:p>
        <a:p xmlns:a="http://schemas.openxmlformats.org/drawingml/2006/main">
          <a:r>
            <a:rPr lang="de-DE" sz="1050" b="1">
              <a:latin typeface="Arial" panose="020B0604020202020204" pitchFamily="34" charset="0"/>
              <a:cs typeface="Arial" panose="020B0604020202020204" pitchFamily="34" charset="0"/>
            </a:rPr>
            <a:t>~ 0% to 2022</a:t>
          </a:r>
        </a:p>
        <a:p xmlns:a="http://schemas.openxmlformats.org/drawingml/2006/main">
          <a:endParaRPr lang="de-DE" sz="1050" b="1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de-DE" sz="105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695325</xdr:colOff>
      <xdr:row>91</xdr:row>
      <xdr:rowOff>166686</xdr:rowOff>
    </xdr:from>
    <xdr:to>
      <xdr:col>8</xdr:col>
      <xdr:colOff>523875</xdr:colOff>
      <xdr:row>109</xdr:row>
      <xdr:rowOff>171449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0.3344</cdr:x>
      <cdr:y>0.01248</cdr:y>
    </cdr:from>
    <cdr:to>
      <cdr:x>0.69936</cdr:x>
      <cdr:y>0.09293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981199" y="42859"/>
          <a:ext cx="2162176" cy="2762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100" b="1"/>
            <a:t>Guatemala:</a:t>
          </a:r>
          <a:r>
            <a:rPr lang="de-DE" sz="1100" b="1" baseline="0"/>
            <a:t> Export of cut flowers</a:t>
          </a:r>
          <a:endParaRPr lang="de-DE" sz="1100" b="1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114299</xdr:colOff>
      <xdr:row>159</xdr:row>
      <xdr:rowOff>9524</xdr:rowOff>
    </xdr:from>
    <xdr:to>
      <xdr:col>14</xdr:col>
      <xdr:colOff>523875</xdr:colOff>
      <xdr:row>181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752475</xdr:colOff>
      <xdr:row>171</xdr:row>
      <xdr:rowOff>161925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 txBox="1"/>
      </xdr:nvSpPr>
      <xdr:spPr>
        <a:xfrm>
          <a:off x="8629650" y="959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 b="1"/>
        </a:p>
      </xdr:txBody>
    </xdr:sp>
    <xdr:clientData/>
  </xdr:oneCellAnchor>
  <xdr:twoCellAnchor>
    <xdr:from>
      <xdr:col>7</xdr:col>
      <xdr:colOff>97734</xdr:colOff>
      <xdr:row>159</xdr:row>
      <xdr:rowOff>9524</xdr:rowOff>
    </xdr:from>
    <xdr:to>
      <xdr:col>14</xdr:col>
      <xdr:colOff>507310</xdr:colOff>
      <xdr:row>181</xdr:row>
      <xdr:rowOff>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13</xdr:col>
      <xdr:colOff>752475</xdr:colOff>
      <xdr:row>171</xdr:row>
      <xdr:rowOff>161925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SpPr txBox="1"/>
      </xdr:nvSpPr>
      <xdr:spPr>
        <a:xfrm>
          <a:off x="11163300" y="346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 b="1"/>
        </a:p>
      </xdr:txBody>
    </xdr:sp>
    <xdr:clientData/>
  </xdr:one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0.37881</cdr:x>
      <cdr:y>0.45925</cdr:y>
    </cdr:from>
    <cdr:to>
      <cdr:x>0.59983</cdr:x>
      <cdr:y>0.7458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2388591" y="2082192"/>
          <a:ext cx="1393653" cy="12991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de-DE" sz="1100" b="1"/>
            <a:t>Output</a:t>
          </a:r>
          <a:r>
            <a:rPr lang="de-DE" sz="1100" b="1" baseline="0"/>
            <a:t> </a:t>
          </a:r>
          <a:r>
            <a:rPr lang="de-DE" sz="1100" b="1"/>
            <a:t>of flowers and plants: </a:t>
          </a:r>
        </a:p>
        <a:p xmlns:a="http://schemas.openxmlformats.org/drawingml/2006/main">
          <a:pPr algn="ctr"/>
          <a:r>
            <a:rPr lang="de-DE" sz="1100" b="1"/>
            <a:t>380,1 billion yen </a:t>
          </a:r>
        </a:p>
        <a:p xmlns:a="http://schemas.openxmlformats.org/drawingml/2006/main">
          <a:pPr algn="ctr"/>
          <a:r>
            <a:rPr lang="de-DE" sz="1100" b="1"/>
            <a:t>(2015) </a:t>
          </a:r>
        </a:p>
        <a:p xmlns:a="http://schemas.openxmlformats.org/drawingml/2006/main">
          <a:pPr algn="ctr"/>
          <a:endParaRPr lang="de-DE" sz="1100" b="1"/>
        </a:p>
        <a:p xmlns:a="http://schemas.openxmlformats.org/drawingml/2006/main">
          <a:pPr algn="ctr"/>
          <a:r>
            <a:rPr lang="de-DE" sz="1100" b="1"/>
            <a:t>(4% of total</a:t>
          </a:r>
          <a:r>
            <a:rPr lang="de-DE" sz="1100" b="1" baseline="0"/>
            <a:t> agricultural output)</a:t>
          </a:r>
          <a:endParaRPr lang="de-DE" sz="1100" b="1"/>
        </a:p>
      </cdr:txBody>
    </cdr:sp>
  </cdr:relSizeAnchor>
  <cdr:relSizeAnchor xmlns:cdr="http://schemas.openxmlformats.org/drawingml/2006/chartDrawing">
    <cdr:from>
      <cdr:x>0.04019</cdr:x>
      <cdr:y>0.00677</cdr:y>
    </cdr:from>
    <cdr:to>
      <cdr:x>0.92427</cdr:x>
      <cdr:y>0.13093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247650" y="28576"/>
          <a:ext cx="5448300" cy="5238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de-DE" sz="1600" b="1"/>
            <a:t>Gross output of flowers and plants 2015</a:t>
          </a:r>
        </a:p>
        <a:p xmlns:a="http://schemas.openxmlformats.org/drawingml/2006/main">
          <a:pPr algn="ctr"/>
          <a:r>
            <a:rPr lang="de-DE" sz="1100" b="1"/>
            <a:t> In billion Yen,</a:t>
          </a:r>
          <a:r>
            <a:rPr lang="de-DE" sz="1100" b="1" baseline="0"/>
            <a:t> </a:t>
          </a:r>
          <a:r>
            <a:rPr lang="de-DE" sz="1100" b="1"/>
            <a:t>in % </a:t>
          </a:r>
        </a:p>
      </cdr:txBody>
    </cdr:sp>
  </cdr:relSizeAnchor>
  <cdr:relSizeAnchor xmlns:cdr="http://schemas.openxmlformats.org/drawingml/2006/chartDrawing">
    <cdr:from>
      <cdr:x>0.0423</cdr:x>
      <cdr:y>0.90546</cdr:y>
    </cdr:from>
    <cdr:to>
      <cdr:x>0.8565</cdr:x>
      <cdr:y>0.9916</cdr:y>
    </cdr:to>
    <cdr:sp macro="" textlink="">
      <cdr:nvSpPr>
        <cdr:cNvPr id="4" name="Textfeld 3"/>
        <cdr:cNvSpPr txBox="1"/>
      </cdr:nvSpPr>
      <cdr:spPr>
        <a:xfrm xmlns:a="http://schemas.openxmlformats.org/drawingml/2006/main">
          <a:off x="266701" y="4105276"/>
          <a:ext cx="5133975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1100"/>
        </a:p>
      </cdr:txBody>
    </cdr:sp>
  </cdr:relSizeAnchor>
  <cdr:relSizeAnchor xmlns:cdr="http://schemas.openxmlformats.org/drawingml/2006/chartDrawing">
    <cdr:from>
      <cdr:x>0.37565</cdr:x>
      <cdr:y>0.66524</cdr:y>
    </cdr:from>
    <cdr:to>
      <cdr:x>0.67826</cdr:x>
      <cdr:y>0.7382</cdr:y>
    </cdr:to>
    <cdr:sp macro="" textlink="">
      <cdr:nvSpPr>
        <cdr:cNvPr id="5" name="Textfeld 4"/>
        <cdr:cNvSpPr txBox="1"/>
      </cdr:nvSpPr>
      <cdr:spPr>
        <a:xfrm xmlns:a="http://schemas.openxmlformats.org/drawingml/2006/main">
          <a:off x="2057401" y="2952751"/>
          <a:ext cx="1657350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e-DE" sz="900"/>
            <a:t>(4 % of total agricultural)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0.35134</cdr:x>
      <cdr:y>0.45991</cdr:y>
    </cdr:from>
    <cdr:to>
      <cdr:x>0.63342</cdr:x>
      <cdr:y>0.74584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2016815" y="1930401"/>
          <a:ext cx="1619251" cy="1200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de-DE" sz="1000" b="1"/>
            <a:t>Output</a:t>
          </a:r>
          <a:r>
            <a:rPr lang="de-DE" sz="1000" b="1" baseline="0"/>
            <a:t> </a:t>
          </a:r>
          <a:r>
            <a:rPr lang="de-DE" sz="1000" b="1"/>
            <a:t>of flowers and plants: </a:t>
          </a:r>
        </a:p>
        <a:p xmlns:a="http://schemas.openxmlformats.org/drawingml/2006/main">
          <a:pPr algn="ctr"/>
          <a:r>
            <a:rPr lang="de-DE" sz="1000" b="1"/>
            <a:t>380,1 billion yen </a:t>
          </a:r>
        </a:p>
        <a:p xmlns:a="http://schemas.openxmlformats.org/drawingml/2006/main">
          <a:pPr algn="ctr"/>
          <a:r>
            <a:rPr lang="de-DE" sz="1000" b="1"/>
            <a:t>(2015) </a:t>
          </a:r>
        </a:p>
        <a:p xmlns:a="http://schemas.openxmlformats.org/drawingml/2006/main">
          <a:pPr algn="ctr"/>
          <a:endParaRPr lang="de-DE" sz="1000" b="1"/>
        </a:p>
        <a:p xmlns:a="http://schemas.openxmlformats.org/drawingml/2006/main">
          <a:pPr algn="ctr"/>
          <a:r>
            <a:rPr lang="de-DE" sz="1000" b="1"/>
            <a:t>(4% of total</a:t>
          </a:r>
          <a:r>
            <a:rPr lang="de-DE" sz="1000" b="1" baseline="0"/>
            <a:t> agricultural output)</a:t>
          </a:r>
          <a:endParaRPr lang="de-DE" sz="1000" b="1"/>
        </a:p>
      </cdr:txBody>
    </cdr:sp>
  </cdr:relSizeAnchor>
  <cdr:relSizeAnchor xmlns:cdr="http://schemas.openxmlformats.org/drawingml/2006/chartDrawing">
    <cdr:from>
      <cdr:x>0.04019</cdr:x>
      <cdr:y>0.00677</cdr:y>
    </cdr:from>
    <cdr:to>
      <cdr:x>0.92427</cdr:x>
      <cdr:y>0.13093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247650" y="28576"/>
          <a:ext cx="5448300" cy="5238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de-DE" sz="1600" b="1"/>
            <a:t>Gross output of flowers and plants 2015</a:t>
          </a:r>
        </a:p>
        <a:p xmlns:a="http://schemas.openxmlformats.org/drawingml/2006/main">
          <a:pPr algn="ctr"/>
          <a:r>
            <a:rPr lang="de-DE" sz="1100" b="1"/>
            <a:t> In billion Yen,</a:t>
          </a:r>
          <a:r>
            <a:rPr lang="de-DE" sz="1100" b="1" baseline="0"/>
            <a:t> </a:t>
          </a:r>
          <a:r>
            <a:rPr lang="de-DE" sz="1100" b="1"/>
            <a:t>in % </a:t>
          </a:r>
        </a:p>
      </cdr:txBody>
    </cdr:sp>
  </cdr:relSizeAnchor>
  <cdr:relSizeAnchor xmlns:cdr="http://schemas.openxmlformats.org/drawingml/2006/chartDrawing">
    <cdr:from>
      <cdr:x>0.0423</cdr:x>
      <cdr:y>0.90546</cdr:y>
    </cdr:from>
    <cdr:to>
      <cdr:x>0.8565</cdr:x>
      <cdr:y>0.9916</cdr:y>
    </cdr:to>
    <cdr:sp macro="" textlink="">
      <cdr:nvSpPr>
        <cdr:cNvPr id="4" name="Textfeld 3"/>
        <cdr:cNvSpPr txBox="1"/>
      </cdr:nvSpPr>
      <cdr:spPr>
        <a:xfrm xmlns:a="http://schemas.openxmlformats.org/drawingml/2006/main">
          <a:off x="266701" y="4105276"/>
          <a:ext cx="5133975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1100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26932</xdr:colOff>
      <xdr:row>424</xdr:row>
      <xdr:rowOff>98206</xdr:rowOff>
    </xdr:from>
    <xdr:to>
      <xdr:col>11</xdr:col>
      <xdr:colOff>571500</xdr:colOff>
      <xdr:row>443</xdr:row>
      <xdr:rowOff>183930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656896</xdr:colOff>
      <xdr:row>390</xdr:row>
      <xdr:rowOff>34158</xdr:rowOff>
    </xdr:from>
    <xdr:to>
      <xdr:col>9</xdr:col>
      <xdr:colOff>228600</xdr:colOff>
      <xdr:row>404</xdr:row>
      <xdr:rowOff>110358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729153</xdr:colOff>
      <xdr:row>454</xdr:row>
      <xdr:rowOff>65690</xdr:rowOff>
    </xdr:from>
    <xdr:to>
      <xdr:col>12</xdr:col>
      <xdr:colOff>249620</xdr:colOff>
      <xdr:row>469</xdr:row>
      <xdr:rowOff>5254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2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390525</xdr:colOff>
      <xdr:row>483</xdr:row>
      <xdr:rowOff>76199</xdr:rowOff>
    </xdr:from>
    <xdr:to>
      <xdr:col>13</xdr:col>
      <xdr:colOff>390525</xdr:colOff>
      <xdr:row>505</xdr:row>
      <xdr:rowOff>28574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0000000-0008-0000-2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729760</xdr:colOff>
      <xdr:row>140</xdr:row>
      <xdr:rowOff>40297</xdr:rowOff>
    </xdr:from>
    <xdr:to>
      <xdr:col>10</xdr:col>
      <xdr:colOff>444011</xdr:colOff>
      <xdr:row>159</xdr:row>
      <xdr:rowOff>145073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432546</xdr:colOff>
      <xdr:row>176</xdr:row>
      <xdr:rowOff>38100</xdr:rowOff>
    </xdr:from>
    <xdr:to>
      <xdr:col>13</xdr:col>
      <xdr:colOff>0</xdr:colOff>
      <xdr:row>200</xdr:row>
      <xdr:rowOff>57150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0.02766</cdr:x>
      <cdr:y>0.03158</cdr:y>
    </cdr:from>
    <cdr:to>
      <cdr:x>0.96266</cdr:x>
      <cdr:y>0.19368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90501" y="142876"/>
          <a:ext cx="6438900" cy="733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1100"/>
        </a:p>
      </cdr:txBody>
    </cdr:sp>
  </cdr:relSizeAnchor>
  <cdr:relSizeAnchor xmlns:cdr="http://schemas.openxmlformats.org/drawingml/2006/chartDrawing">
    <cdr:from>
      <cdr:x>0.05671</cdr:x>
      <cdr:y>0.03368</cdr:y>
    </cdr:from>
    <cdr:to>
      <cdr:x>0.91563</cdr:x>
      <cdr:y>0.22947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390526" y="152401"/>
          <a:ext cx="5915025" cy="885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1100"/>
        </a:p>
      </cdr:txBody>
    </cdr:sp>
  </cdr:relSizeAnchor>
  <cdr:relSizeAnchor xmlns:cdr="http://schemas.openxmlformats.org/drawingml/2006/chartDrawing">
    <cdr:from>
      <cdr:x>0.01522</cdr:x>
      <cdr:y>0.0359</cdr:y>
    </cdr:from>
    <cdr:to>
      <cdr:x>0.19225</cdr:x>
      <cdr:y>0.14748</cdr:y>
    </cdr:to>
    <cdr:sp macro="" textlink="">
      <cdr:nvSpPr>
        <cdr:cNvPr id="4" name="Textfeld 3"/>
        <cdr:cNvSpPr txBox="1"/>
      </cdr:nvSpPr>
      <cdr:spPr>
        <a:xfrm xmlns:a="http://schemas.openxmlformats.org/drawingml/2006/main">
          <a:off x="104788" y="133024"/>
          <a:ext cx="1219188" cy="4134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l"/>
          <a:endParaRPr lang="de-DE" sz="1000" b="1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l"/>
          <a:r>
            <a:rPr lang="de-DE" sz="1000" b="1">
              <a:latin typeface="Arial" panose="020B0604020202020204" pitchFamily="34" charset="0"/>
              <a:cs typeface="Arial" panose="020B0604020202020204" pitchFamily="34" charset="0"/>
            </a:rPr>
            <a:t>In million USD</a:t>
          </a:r>
        </a:p>
      </cdr:txBody>
    </cdr:sp>
  </cdr:relSizeAnchor>
  <cdr:relSizeAnchor xmlns:cdr="http://schemas.openxmlformats.org/drawingml/2006/chartDrawing">
    <cdr:from>
      <cdr:x>0.63403</cdr:x>
      <cdr:y>0.03441</cdr:y>
    </cdr:from>
    <cdr:to>
      <cdr:x>0.9949</cdr:x>
      <cdr:y>0.34048</cdr:y>
    </cdr:to>
    <cdr:sp macro="" textlink="">
      <cdr:nvSpPr>
        <cdr:cNvPr id="5" name="Textfeld 4"/>
        <cdr:cNvSpPr txBox="1"/>
      </cdr:nvSpPr>
      <cdr:spPr>
        <a:xfrm xmlns:a="http://schemas.openxmlformats.org/drawingml/2006/main">
          <a:off x="4667532" y="127497"/>
          <a:ext cx="2656669" cy="113405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endParaRPr lang="de-DE" sz="1000" b="0" baseline="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l"/>
          <a:r>
            <a:rPr lang="de-DE" sz="1000" b="0" baseline="0">
              <a:latin typeface="Arial" panose="020B0604020202020204" pitchFamily="34" charset="0"/>
              <a:cs typeface="Arial" panose="020B0604020202020204" pitchFamily="34" charset="0"/>
            </a:rPr>
            <a:t>Wholesale value: </a:t>
          </a:r>
        </a:p>
        <a:p xmlns:a="http://schemas.openxmlformats.org/drawingml/2006/main">
          <a:pPr algn="l"/>
          <a:r>
            <a:rPr lang="de-DE" sz="1000" b="0" baseline="0">
              <a:latin typeface="Arial" panose="020B0604020202020204" pitchFamily="34" charset="0"/>
              <a:cs typeface="Arial" panose="020B0604020202020204" pitchFamily="34" charset="0"/>
            </a:rPr>
            <a:t>6 397 million USD (-4% compared to 2022) </a:t>
          </a:r>
        </a:p>
        <a:p xmlns:a="http://schemas.openxmlformats.org/drawingml/2006/main">
          <a:pPr algn="l"/>
          <a:endParaRPr lang="de-DE" sz="1000" b="0" baseline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0.02361</cdr:x>
      <cdr:y>0.91264</cdr:y>
    </cdr:from>
    <cdr:to>
      <cdr:x>0.69722</cdr:x>
      <cdr:y>0.97012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61925" y="3781426"/>
          <a:ext cx="461962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100"/>
            <a:t>Source: U.S.</a:t>
          </a:r>
          <a:r>
            <a:rPr lang="de-DE" sz="1100" baseline="0"/>
            <a:t> </a:t>
          </a:r>
          <a:r>
            <a:rPr lang="de-DE" sz="1100"/>
            <a:t>Bureau of Economic Analysis,</a:t>
          </a:r>
          <a:r>
            <a:rPr lang="de-DE" sz="1100" baseline="0"/>
            <a:t> 2025</a:t>
          </a:r>
          <a:endParaRPr lang="de-DE" sz="1100"/>
        </a:p>
      </cdr:txBody>
    </cdr:sp>
  </cdr:relSizeAnchor>
  <cdr:relSizeAnchor xmlns:cdr="http://schemas.openxmlformats.org/drawingml/2006/chartDrawing">
    <cdr:from>
      <cdr:x>0.09027</cdr:x>
      <cdr:y>0</cdr:y>
    </cdr:from>
    <cdr:to>
      <cdr:x>0.8875</cdr:x>
      <cdr:y>0.13793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619102" y="0"/>
          <a:ext cx="5467403" cy="5714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400">
              <a:latin typeface="Arial" panose="020B0604020202020204" pitchFamily="34" charset="0"/>
              <a:cs typeface="Arial" panose="020B0604020202020204" pitchFamily="34" charset="0"/>
            </a:rPr>
            <a:t>US: Personal</a:t>
          </a:r>
          <a:r>
            <a:rPr lang="de-DE" sz="1400" baseline="0">
              <a:latin typeface="Arial" panose="020B0604020202020204" pitchFamily="34" charset="0"/>
              <a:cs typeface="Arial" panose="020B0604020202020204" pitchFamily="34" charset="0"/>
            </a:rPr>
            <a:t> c</a:t>
          </a:r>
          <a:r>
            <a:rPr lang="de-DE" sz="1400">
              <a:latin typeface="Arial" panose="020B0604020202020204" pitchFamily="34" charset="0"/>
              <a:cs typeface="Arial" panose="020B0604020202020204" pitchFamily="34" charset="0"/>
            </a:rPr>
            <a:t>onsumption</a:t>
          </a:r>
          <a:r>
            <a:rPr lang="de-DE" sz="14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DE" sz="1400">
              <a:latin typeface="Arial" panose="020B0604020202020204" pitchFamily="34" charset="0"/>
              <a:cs typeface="Arial" panose="020B0604020202020204" pitchFamily="34" charset="0"/>
            </a:rPr>
            <a:t>expenditures on flowers,</a:t>
          </a:r>
          <a:r>
            <a:rPr lang="de-DE" sz="1400" baseline="0">
              <a:latin typeface="Arial" panose="020B0604020202020204" pitchFamily="34" charset="0"/>
              <a:cs typeface="Arial" panose="020B0604020202020204" pitchFamily="34" charset="0"/>
            </a:rPr>
            <a:t> seeds and potted plants,  2011-2023</a:t>
          </a:r>
          <a:endParaRPr lang="de-DE" sz="14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0.82917</cdr:x>
      <cdr:y>0.08506</cdr:y>
    </cdr:from>
    <cdr:to>
      <cdr:x>1</cdr:x>
      <cdr:y>0.18851</cdr:y>
    </cdr:to>
    <cdr:sp macro="" textlink="">
      <cdr:nvSpPr>
        <cdr:cNvPr id="4" name="Textfeld 3"/>
        <cdr:cNvSpPr txBox="1"/>
      </cdr:nvSpPr>
      <cdr:spPr>
        <a:xfrm xmlns:a="http://schemas.openxmlformats.org/drawingml/2006/main">
          <a:off x="5686425" y="352425"/>
          <a:ext cx="1171575" cy="428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100"/>
            <a:t>in billion USD </a:t>
          </a:r>
        </a:p>
      </cdr:txBody>
    </cdr:sp>
  </cdr:relSizeAnchor>
  <cdr:relSizeAnchor xmlns:cdr="http://schemas.openxmlformats.org/drawingml/2006/chartDrawing">
    <cdr:from>
      <cdr:x>0.54722</cdr:x>
      <cdr:y>0.15632</cdr:y>
    </cdr:from>
    <cdr:to>
      <cdr:x>0.73333</cdr:x>
      <cdr:y>0.22299</cdr:y>
    </cdr:to>
    <cdr:sp macro="" textlink="">
      <cdr:nvSpPr>
        <cdr:cNvPr id="5" name="Textfeld 4"/>
        <cdr:cNvSpPr txBox="1"/>
      </cdr:nvSpPr>
      <cdr:spPr>
        <a:xfrm xmlns:a="http://schemas.openxmlformats.org/drawingml/2006/main">
          <a:off x="3752850" y="647701"/>
          <a:ext cx="127635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11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0.00377</cdr:x>
      <cdr:y>0.02105</cdr:y>
    </cdr:from>
    <cdr:to>
      <cdr:x>0.22252</cdr:x>
      <cdr:y>0.1148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21312" y="73190"/>
          <a:ext cx="1235571" cy="3259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100"/>
            <a:t>In million CAD</a:t>
          </a:r>
          <a:r>
            <a:rPr lang="de-DE" sz="1100" baseline="0"/>
            <a:t> </a:t>
          </a:r>
          <a:endParaRPr lang="de-DE" sz="1100"/>
        </a:p>
      </cdr:txBody>
    </cdr:sp>
  </cdr:relSizeAnchor>
  <cdr:relSizeAnchor xmlns:cdr="http://schemas.openxmlformats.org/drawingml/2006/chartDrawing">
    <cdr:from>
      <cdr:x>0.0054</cdr:x>
      <cdr:y>0.91304</cdr:y>
    </cdr:from>
    <cdr:to>
      <cdr:x>0.75223</cdr:x>
      <cdr:y>0.99488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38101" y="3400413"/>
          <a:ext cx="5269524" cy="3047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700">
              <a:latin typeface="Arial" panose="020B0604020202020204" pitchFamily="34" charset="0"/>
              <a:cs typeface="Arial" panose="020B0604020202020204" pitchFamily="34" charset="0"/>
            </a:rPr>
            <a:t>Source: Statistics Canada, Table 32-10-0246-01</a:t>
          </a:r>
          <a:r>
            <a:rPr lang="de-DE" sz="700" baseline="0">
              <a:latin typeface="Arial" panose="020B0604020202020204" pitchFamily="34" charset="0"/>
              <a:cs typeface="Arial" panose="020B0604020202020204" pitchFamily="34" charset="0"/>
            </a:rPr>
            <a:t>  Production and sale of greenhouse flowers, and plants. T</a:t>
          </a:r>
          <a:r>
            <a:rPr lang="de-DE" sz="700">
              <a:latin typeface="Arial" panose="020B0604020202020204" pitchFamily="34" charset="0"/>
              <a:cs typeface="Arial" panose="020B0604020202020204" pitchFamily="34" charset="0"/>
            </a:rPr>
            <a:t>able 32-10-0032-01</a:t>
          </a:r>
          <a:r>
            <a:rPr lang="de-DE" sz="7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DE" sz="700">
              <a:latin typeface="Arial" panose="020B0604020202020204" pitchFamily="34" charset="0"/>
              <a:cs typeface="Arial" panose="020B0604020202020204" pitchFamily="34" charset="0"/>
            </a:rPr>
            <a:t>Nursery stock sales and resales, 2025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0.03309</cdr:x>
      <cdr:y>0.01814</cdr:y>
    </cdr:from>
    <cdr:to>
      <cdr:x>1</cdr:x>
      <cdr:y>0.13362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219076" y="80174"/>
          <a:ext cx="6400800" cy="5103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400" b="1">
              <a:latin typeface="Arial" panose="020B0604020202020204" pitchFamily="34" charset="0"/>
              <a:cs typeface="Arial" panose="020B0604020202020204" pitchFamily="34" charset="0"/>
            </a:rPr>
            <a:t>Canada:</a:t>
          </a:r>
          <a:r>
            <a:rPr lang="de-DE" sz="1400" b="1" baseline="0">
              <a:latin typeface="Arial" panose="020B0604020202020204" pitchFamily="34" charset="0"/>
              <a:cs typeface="Arial" panose="020B0604020202020204" pitchFamily="34" charset="0"/>
            </a:rPr>
            <a:t> Channels for distribution for nursery product sales and resales 2024</a:t>
          </a:r>
        </a:p>
        <a:p xmlns:a="http://schemas.openxmlformats.org/drawingml/2006/main">
          <a:r>
            <a:rPr lang="de-DE" sz="1100" b="0" baseline="0">
              <a:latin typeface="Arial" panose="020B0604020202020204" pitchFamily="34" charset="0"/>
              <a:cs typeface="Arial" panose="020B0604020202020204" pitchFamily="34" charset="0"/>
            </a:rPr>
            <a:t>Farm gate value (before sales tax) </a:t>
          </a:r>
          <a:endParaRPr lang="de-DE" sz="1100" b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0.33718</cdr:x>
      <cdr:y>0.49295</cdr:y>
    </cdr:from>
    <cdr:to>
      <cdr:x>0.57602</cdr:x>
      <cdr:y>0.6796</cdr:y>
    </cdr:to>
    <cdr:sp macro="" textlink="">
      <cdr:nvSpPr>
        <cdr:cNvPr id="3" name="Textfeld 4"/>
        <cdr:cNvSpPr txBox="1"/>
      </cdr:nvSpPr>
      <cdr:spPr>
        <a:xfrm xmlns:a="http://schemas.openxmlformats.org/drawingml/2006/main">
          <a:off x="1441974" y="2263140"/>
          <a:ext cx="1021441" cy="85693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DE" sz="900" b="1"/>
            <a:t>Total</a:t>
          </a:r>
          <a:r>
            <a:rPr lang="de-DE" sz="900" b="1" baseline="0"/>
            <a:t> sales in 2024</a:t>
          </a:r>
          <a:endParaRPr lang="de-DE" sz="900" b="1"/>
        </a:p>
        <a:p xmlns:a="http://schemas.openxmlformats.org/drawingml/2006/main">
          <a:pPr algn="ctr"/>
          <a:r>
            <a:rPr lang="de-DE" sz="900" b="1"/>
            <a:t>796 million</a:t>
          </a:r>
        </a:p>
        <a:p xmlns:a="http://schemas.openxmlformats.org/drawingml/2006/main">
          <a:pPr algn="ctr"/>
          <a:r>
            <a:rPr lang="de-DE" sz="900" b="1"/>
            <a:t>Canadian Dollars</a:t>
          </a:r>
        </a:p>
        <a:p xmlns:a="http://schemas.openxmlformats.org/drawingml/2006/main">
          <a:pPr algn="ctr"/>
          <a:r>
            <a:rPr lang="de-DE" sz="900" b="1"/>
            <a:t>(+6 % to 2023) </a:t>
          </a:r>
        </a:p>
        <a:p xmlns:a="http://schemas.openxmlformats.org/drawingml/2006/main">
          <a:endParaRPr lang="de-DE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510429</xdr:colOff>
      <xdr:row>56</xdr:row>
      <xdr:rowOff>44542</xdr:rowOff>
    </xdr:from>
    <xdr:to>
      <xdr:col>6</xdr:col>
      <xdr:colOff>188260</xdr:colOff>
      <xdr:row>72</xdr:row>
      <xdr:rowOff>171450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1490943</xdr:colOff>
      <xdr:row>133</xdr:row>
      <xdr:rowOff>144274</xdr:rowOff>
    </xdr:from>
    <xdr:to>
      <xdr:col>9</xdr:col>
      <xdr:colOff>557493</xdr:colOff>
      <xdr:row>151</xdr:row>
      <xdr:rowOff>149037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0.025</cdr:x>
      <cdr:y>0.0434</cdr:y>
    </cdr:from>
    <cdr:to>
      <cdr:x>0.96458</cdr:x>
      <cdr:y>0.1441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14300" y="119063"/>
          <a:ext cx="4295775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1100"/>
        </a:p>
      </cdr:txBody>
    </cdr:sp>
  </cdr:relSizeAnchor>
  <cdr:relSizeAnchor xmlns:cdr="http://schemas.openxmlformats.org/drawingml/2006/chartDrawing">
    <cdr:from>
      <cdr:x>0</cdr:x>
      <cdr:y>0.00521</cdr:y>
    </cdr:from>
    <cdr:to>
      <cdr:x>0.94584</cdr:x>
      <cdr:y>0.16493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0" y="14292"/>
          <a:ext cx="4324365" cy="4381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de-DE" sz="1100" b="1"/>
            <a:t>Colombia: Production of cut flowers 2024 </a:t>
          </a:r>
        </a:p>
        <a:p xmlns:a="http://schemas.openxmlformats.org/drawingml/2006/main">
          <a:pPr algn="ctr"/>
          <a:r>
            <a:rPr lang="de-DE" sz="1100" b="1"/>
            <a:t>(in ha)</a:t>
          </a:r>
        </a:p>
      </cdr:txBody>
    </cdr:sp>
  </cdr:relSizeAnchor>
  <cdr:relSizeAnchor xmlns:cdr="http://schemas.openxmlformats.org/drawingml/2006/chartDrawing">
    <cdr:from>
      <cdr:x>0.55376</cdr:x>
      <cdr:y>0.90386</cdr:y>
    </cdr:from>
    <cdr:to>
      <cdr:x>1</cdr:x>
      <cdr:y>1</cdr:y>
    </cdr:to>
    <cdr:sp macro="" textlink="">
      <cdr:nvSpPr>
        <cdr:cNvPr id="4" name="Textfeld 3"/>
        <cdr:cNvSpPr txBox="1"/>
      </cdr:nvSpPr>
      <cdr:spPr>
        <a:xfrm xmlns:a="http://schemas.openxmlformats.org/drawingml/2006/main">
          <a:off x="2681006" y="2707622"/>
          <a:ext cx="2160496" cy="2879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700">
              <a:latin typeface="Arial" panose="020B0604020202020204" pitchFamily="34" charset="0"/>
              <a:cs typeface="Arial" panose="020B0604020202020204" pitchFamily="34" charset="0"/>
            </a:rPr>
            <a:t>Source: Asocolflores, ICA, 2025 </a:t>
          </a:r>
        </a:p>
      </cdr:txBody>
    </cdr:sp>
  </cdr:relSizeAnchor>
  <cdr:relSizeAnchor xmlns:cdr="http://schemas.openxmlformats.org/drawingml/2006/chartDrawing">
    <cdr:from>
      <cdr:x>0.36667</cdr:x>
      <cdr:y>0.41704</cdr:y>
    </cdr:from>
    <cdr:to>
      <cdr:x>0.54583</cdr:x>
      <cdr:y>0.65022</cdr:y>
    </cdr:to>
    <cdr:sp macro="" textlink="">
      <cdr:nvSpPr>
        <cdr:cNvPr id="5" name="Textfeld 4"/>
        <cdr:cNvSpPr txBox="1"/>
      </cdr:nvSpPr>
      <cdr:spPr>
        <a:xfrm xmlns:a="http://schemas.openxmlformats.org/drawingml/2006/main">
          <a:off x="1676401" y="1328739"/>
          <a:ext cx="819150" cy="742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100" b="1"/>
            <a:t>Total area 2024: </a:t>
          </a:r>
        </a:p>
        <a:p xmlns:a="http://schemas.openxmlformats.org/drawingml/2006/main">
          <a:r>
            <a:rPr lang="de-DE" sz="1100" b="1"/>
            <a:t>10 500 ha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0.3344</cdr:x>
      <cdr:y>0.01248</cdr:y>
    </cdr:from>
    <cdr:to>
      <cdr:x>0.69936</cdr:x>
      <cdr:y>0.09293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981199" y="42859"/>
          <a:ext cx="2162176" cy="2762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100" b="1"/>
            <a:t>Colombia:</a:t>
          </a:r>
          <a:r>
            <a:rPr lang="de-DE" sz="1100" b="1" baseline="0"/>
            <a:t> Export of cut flowers</a:t>
          </a:r>
          <a:endParaRPr lang="de-DE" sz="1100" b="1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16012</xdr:colOff>
      <xdr:row>35</xdr:row>
      <xdr:rowOff>5866</xdr:rowOff>
    </xdr:from>
    <xdr:to>
      <xdr:col>22</xdr:col>
      <xdr:colOff>568091</xdr:colOff>
      <xdr:row>59</xdr:row>
      <xdr:rowOff>147742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0.01828</cdr:x>
      <cdr:y>0.90802</cdr:y>
    </cdr:from>
    <cdr:to>
      <cdr:x>0.56459</cdr:x>
      <cdr:y>0.9733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93158" y="3203332"/>
          <a:ext cx="2784231" cy="230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700"/>
            <a:t>Source: INEC</a:t>
          </a:r>
          <a:r>
            <a:rPr lang="de-DE" sz="700" baseline="0"/>
            <a:t> (ESPAC), 2025</a:t>
          </a:r>
        </a:p>
        <a:p xmlns:a="http://schemas.openxmlformats.org/drawingml/2006/main">
          <a:endParaRPr lang="de-DE" sz="700" baseline="0"/>
        </a:p>
        <a:p xmlns:a="http://schemas.openxmlformats.org/drawingml/2006/main">
          <a:endParaRPr lang="de-DE" sz="700"/>
        </a:p>
      </cdr:txBody>
    </cdr:sp>
  </cdr:relSizeAnchor>
  <cdr:relSizeAnchor xmlns:cdr="http://schemas.openxmlformats.org/drawingml/2006/chartDrawing">
    <cdr:from>
      <cdr:x>0.38672</cdr:x>
      <cdr:y>0.45015</cdr:y>
    </cdr:from>
    <cdr:to>
      <cdr:x>0.61539</cdr:x>
      <cdr:y>0.64778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1965188" y="1605540"/>
          <a:ext cx="116205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de-DE" sz="1100" b="1"/>
            <a:t>Total area</a:t>
          </a:r>
        </a:p>
        <a:p xmlns:a="http://schemas.openxmlformats.org/drawingml/2006/main">
          <a:pPr algn="ctr"/>
          <a:r>
            <a:rPr lang="de-DE" sz="1100" b="1"/>
            <a:t>2024:</a:t>
          </a:r>
          <a:r>
            <a:rPr lang="de-DE" sz="1100" b="1" baseline="0"/>
            <a:t> </a:t>
          </a:r>
        </a:p>
        <a:p xmlns:a="http://schemas.openxmlformats.org/drawingml/2006/main">
          <a:pPr algn="ctr"/>
          <a:r>
            <a:rPr lang="de-DE" sz="1100" b="1" baseline="0"/>
            <a:t>7196 ha</a:t>
          </a:r>
          <a:endParaRPr lang="de-DE" sz="1100" b="1"/>
        </a:p>
      </cdr:txBody>
    </cdr:sp>
  </cdr:relSizeAnchor>
  <cdr:relSizeAnchor xmlns:cdr="http://schemas.openxmlformats.org/drawingml/2006/chartDrawing">
    <cdr:from>
      <cdr:x>0.06058</cdr:x>
      <cdr:y>0.00684</cdr:y>
    </cdr:from>
    <cdr:to>
      <cdr:x>0.90404</cdr:x>
      <cdr:y>0.15639</cdr:y>
    </cdr:to>
    <cdr:sp macro="" textlink="">
      <cdr:nvSpPr>
        <cdr:cNvPr id="4" name="Textfeld 3"/>
        <cdr:cNvSpPr txBox="1"/>
      </cdr:nvSpPr>
      <cdr:spPr>
        <a:xfrm xmlns:a="http://schemas.openxmlformats.org/drawingml/2006/main">
          <a:off x="307837" y="24389"/>
          <a:ext cx="4286250" cy="533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de-DE" sz="1100" b="1"/>
            <a:t>Ecuador: Production of cut flowers 2024</a:t>
          </a:r>
        </a:p>
        <a:p xmlns:a="http://schemas.openxmlformats.org/drawingml/2006/main">
          <a:pPr algn="ctr"/>
          <a:r>
            <a:rPr lang="de-DE" sz="1100" b="1"/>
            <a:t>(in ha) 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e/AIPH/Ab2020/yearbook_2024/yearbook_2023/Kapitel%201/2022_Data/ZBG%20Arbeit/AIPH%20SYB/Content/Chapter%201/Country%20pages%20other%20countries/!Country_page_columbi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e/AIPH/Ab2020/yearbook_2024/yearbook_2023/Kapitel%201/2022_Data/Recherche_Aufgabe_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e/AIPH/Ab2020/yearbook_2022/!Abgesendete%20Dateien/SIYB_Chapter_1_Data/!NEW_Guatemala_Country_Page_SIYB_202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e/AIPH/Ab2020/yearbook_2024/yearbook_2023/Kapitel%201/2022_Data/ZBG%20Arbeit/AIPH%20SYB/Content/Chapter%201/Country%20pages%20other%20countries/!Country_pages_Japan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Marcel/ZBG%20Arbeit/AIPH%20SYB/Content/Chapter%201/Country%20pages%20other%20countries/!Country_pages_Japan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e/AIPH/Ab2020/yearbook_2024/yearbook_2023/Kapitel%201/2022_Data/ZBG%20Arbeit/AIPH%20SYB/Content/Chapter%201/Country%20pages%20other%20countries/!Update-Country_page_USA!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onomic indicators "/>
      <sheetName val="Area"/>
      <sheetName val=" Area by products"/>
      <sheetName val="Distribution"/>
      <sheetName val="Trade_overview"/>
      <sheetName val="Export by country"/>
      <sheetName val="Export by product"/>
      <sheetName val="Export roses"/>
      <sheetName val="Guatemala"/>
    </sheetNames>
    <sheetDataSet>
      <sheetData sheetId="0"/>
      <sheetData sheetId="1"/>
      <sheetData sheetId="2">
        <row r="31">
          <cell r="S31" t="str">
            <v>Area</v>
          </cell>
        </row>
        <row r="33">
          <cell r="R33" t="str">
            <v xml:space="preserve">Roses </v>
          </cell>
        </row>
        <row r="34">
          <cell r="R34" t="str">
            <v>Hydrangea</v>
          </cell>
        </row>
        <row r="35">
          <cell r="R35" t="str">
            <v>Chrysanthemums</v>
          </cell>
        </row>
        <row r="36">
          <cell r="R36" t="str">
            <v>Carnations</v>
          </cell>
        </row>
        <row r="37">
          <cell r="R37" t="str">
            <v>Alstromeria</v>
          </cell>
        </row>
        <row r="38">
          <cell r="R38" t="str">
            <v>Others</v>
          </cell>
        </row>
      </sheetData>
      <sheetData sheetId="3"/>
      <sheetData sheetId="4">
        <row r="40">
          <cell r="C40">
            <v>2020</v>
          </cell>
          <cell r="D40">
            <v>2019</v>
          </cell>
          <cell r="E40">
            <v>2018</v>
          </cell>
          <cell r="F40">
            <v>2017</v>
          </cell>
          <cell r="G40">
            <v>2016</v>
          </cell>
          <cell r="H40">
            <v>2015</v>
          </cell>
          <cell r="I40">
            <v>2014</v>
          </cell>
          <cell r="J40">
            <v>2013</v>
          </cell>
          <cell r="K40">
            <v>2012</v>
          </cell>
          <cell r="L40">
            <v>2011</v>
          </cell>
          <cell r="M40">
            <v>2010</v>
          </cell>
          <cell r="N40">
            <v>2009</v>
          </cell>
        </row>
      </sheetData>
      <sheetData sheetId="5"/>
      <sheetData sheetId="6"/>
      <sheetData sheetId="7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lgium"/>
      <sheetName val="France"/>
      <sheetName val="Ecuador"/>
      <sheetName val="Tabelle1"/>
    </sheetNames>
    <sheetDataSet>
      <sheetData sheetId="0"/>
      <sheetData sheetId="1"/>
      <sheetData sheetId="2">
        <row r="27">
          <cell r="T27" t="str">
            <v xml:space="preserve">Other flowers </v>
          </cell>
        </row>
        <row r="28">
          <cell r="T28" t="str">
            <v>Delphinium</v>
          </cell>
        </row>
        <row r="29">
          <cell r="T29" t="str">
            <v>Aster</v>
          </cell>
        </row>
        <row r="30">
          <cell r="T30" t="str">
            <v>Gypsophila</v>
          </cell>
        </row>
        <row r="31">
          <cell r="T31" t="str">
            <v>Hypericum</v>
          </cell>
        </row>
        <row r="32">
          <cell r="T32" t="str">
            <v>Roses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atemala"/>
    </sheetNames>
    <sheetDataSet>
      <sheetData sheetId="0">
        <row r="93">
          <cell r="K93">
            <v>2021</v>
          </cell>
          <cell r="L93">
            <v>2020</v>
          </cell>
          <cell r="M93">
            <v>2019</v>
          </cell>
          <cell r="N93">
            <v>2018</v>
          </cell>
          <cell r="O93">
            <v>2017</v>
          </cell>
          <cell r="P93">
            <v>2016</v>
          </cell>
          <cell r="Q93">
            <v>2015</v>
          </cell>
          <cell r="R93">
            <v>2014</v>
          </cell>
          <cell r="S93">
            <v>2013</v>
          </cell>
          <cell r="T93">
            <v>2012</v>
          </cell>
          <cell r="U93">
            <v>2011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onomic"/>
      <sheetName val="Area"/>
      <sheetName val="Quantity"/>
      <sheetName val="Trade"/>
    </sheetNames>
    <sheetDataSet>
      <sheetData sheetId="0"/>
      <sheetData sheetId="1"/>
      <sheetData sheetId="2">
        <row r="41">
          <cell r="A41">
            <v>2015</v>
          </cell>
        </row>
        <row r="42">
          <cell r="A42" t="str">
            <v>Chrysanthemums</v>
          </cell>
          <cell r="B42">
            <v>69.2</v>
          </cell>
        </row>
        <row r="43">
          <cell r="A43" t="str">
            <v>Lilies</v>
          </cell>
          <cell r="B43">
            <v>21.7</v>
          </cell>
        </row>
        <row r="44">
          <cell r="A44" t="str">
            <v>Roses</v>
          </cell>
          <cell r="B44">
            <v>19</v>
          </cell>
        </row>
        <row r="45">
          <cell r="A45" t="str">
            <v>Carnations</v>
          </cell>
          <cell r="B45">
            <v>12.6</v>
          </cell>
        </row>
        <row r="46">
          <cell r="A46" t="str">
            <v>Eustoma</v>
          </cell>
          <cell r="B46">
            <v>11.7</v>
          </cell>
        </row>
        <row r="47">
          <cell r="A47" t="str">
            <v xml:space="preserve">Cut branches </v>
          </cell>
          <cell r="B47">
            <v>15.1</v>
          </cell>
        </row>
        <row r="48">
          <cell r="A48" t="str">
            <v>Other cut flowers</v>
          </cell>
          <cell r="B48">
            <v>68.900000000000006</v>
          </cell>
        </row>
        <row r="49">
          <cell r="A49" t="str">
            <v>Tropical orchids</v>
          </cell>
          <cell r="B49">
            <v>33.299999999999997</v>
          </cell>
        </row>
        <row r="50">
          <cell r="A50" t="str">
            <v xml:space="preserve">Cyclamen </v>
          </cell>
          <cell r="B50">
            <v>8.6999999999999993</v>
          </cell>
        </row>
        <row r="51">
          <cell r="A51" t="str">
            <v xml:space="preserve">flowering trees and shrubs (pot grown) </v>
          </cell>
          <cell r="B51">
            <v>16.8</v>
          </cell>
        </row>
        <row r="52">
          <cell r="A52" t="str">
            <v xml:space="preserve">Foiliage plants (pot grown) </v>
          </cell>
          <cell r="B52">
            <v>11.3</v>
          </cell>
        </row>
        <row r="53">
          <cell r="A53" t="str">
            <v xml:space="preserve">Other potted plants </v>
          </cell>
          <cell r="B53">
            <v>25.8</v>
          </cell>
        </row>
        <row r="54">
          <cell r="A54" t="str">
            <v>Seedlings for flowers beds</v>
          </cell>
          <cell r="B54">
            <v>30.2</v>
          </cell>
        </row>
        <row r="55">
          <cell r="A55" t="str">
            <v xml:space="preserve">Flowering trees and shrubs </v>
          </cell>
          <cell r="B55">
            <v>22.6</v>
          </cell>
        </row>
        <row r="56">
          <cell r="A56" t="str">
            <v>Lawn grass</v>
          </cell>
          <cell r="B56">
            <v>7.3</v>
          </cell>
        </row>
        <row r="57">
          <cell r="A57" t="str">
            <v>Ground covering plants</v>
          </cell>
          <cell r="B57">
            <v>3.2</v>
          </cell>
        </row>
        <row r="58">
          <cell r="A58" t="str">
            <v>Flower bulbs</v>
          </cell>
          <cell r="B58">
            <v>2.7</v>
          </cell>
        </row>
      </sheetData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onomic"/>
      <sheetName val="Area"/>
      <sheetName val="Quantity"/>
      <sheetName val="Trade"/>
    </sheetNames>
    <sheetDataSet>
      <sheetData sheetId="0"/>
      <sheetData sheetId="1"/>
      <sheetData sheetId="2">
        <row r="41">
          <cell r="A41">
            <v>2015</v>
          </cell>
        </row>
        <row r="42">
          <cell r="A42" t="str">
            <v>Chrysanthemums</v>
          </cell>
          <cell r="B42">
            <v>69.2</v>
          </cell>
        </row>
        <row r="43">
          <cell r="A43" t="str">
            <v>Lilies</v>
          </cell>
          <cell r="B43">
            <v>21.7</v>
          </cell>
        </row>
        <row r="44">
          <cell r="A44" t="str">
            <v>Roses</v>
          </cell>
          <cell r="B44">
            <v>19</v>
          </cell>
        </row>
        <row r="45">
          <cell r="A45" t="str">
            <v>Carnations</v>
          </cell>
          <cell r="B45">
            <v>12.6</v>
          </cell>
        </row>
        <row r="46">
          <cell r="A46" t="str">
            <v>Eustoma</v>
          </cell>
          <cell r="B46">
            <v>11.7</v>
          </cell>
        </row>
        <row r="47">
          <cell r="A47" t="str">
            <v xml:space="preserve">Cut branches </v>
          </cell>
          <cell r="B47">
            <v>15.1</v>
          </cell>
        </row>
        <row r="48">
          <cell r="A48" t="str">
            <v>Other cut flowers</v>
          </cell>
          <cell r="B48">
            <v>68.900000000000006</v>
          </cell>
        </row>
        <row r="49">
          <cell r="A49" t="str">
            <v>Tropical orchids</v>
          </cell>
          <cell r="B49">
            <v>33.299999999999997</v>
          </cell>
        </row>
        <row r="50">
          <cell r="A50" t="str">
            <v xml:space="preserve">Cyclamen </v>
          </cell>
          <cell r="B50">
            <v>8.6999999999999993</v>
          </cell>
        </row>
        <row r="51">
          <cell r="A51" t="str">
            <v xml:space="preserve">flowering trees and shrubs (pot grown) </v>
          </cell>
          <cell r="B51">
            <v>16.8</v>
          </cell>
        </row>
        <row r="52">
          <cell r="A52" t="str">
            <v xml:space="preserve">Foiliage plants (pot grown) </v>
          </cell>
          <cell r="B52">
            <v>11.3</v>
          </cell>
        </row>
        <row r="53">
          <cell r="A53" t="str">
            <v xml:space="preserve">Other potted plants </v>
          </cell>
          <cell r="B53">
            <v>25.8</v>
          </cell>
        </row>
        <row r="54">
          <cell r="A54" t="str">
            <v>Seedlings for flowers beds</v>
          </cell>
          <cell r="B54">
            <v>30.2</v>
          </cell>
        </row>
        <row r="55">
          <cell r="A55" t="str">
            <v xml:space="preserve">Flowering trees and shrubs </v>
          </cell>
          <cell r="B55">
            <v>22.6</v>
          </cell>
        </row>
        <row r="56">
          <cell r="A56" t="str">
            <v>Lawn grass</v>
          </cell>
          <cell r="B56">
            <v>7.3</v>
          </cell>
        </row>
        <row r="57">
          <cell r="A57" t="str">
            <v>Ground covering plants</v>
          </cell>
          <cell r="B57">
            <v>3.2</v>
          </cell>
        </row>
        <row r="58">
          <cell r="A58" t="str">
            <v>Flower bulbs</v>
          </cell>
          <cell r="B58">
            <v>2.7</v>
          </cell>
        </row>
      </sheetData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onomic indicators"/>
      <sheetName val="Area census data"/>
      <sheetName val="Area 2021 Summary"/>
      <sheetName val="Quantities1"/>
      <sheetName val="Quantities2"/>
      <sheetName val="Distribution "/>
      <sheetName val="Import 2"/>
      <sheetName val="Import "/>
      <sheetName val="Export 2"/>
      <sheetName val="Export "/>
      <sheetName val="Sales figures "/>
      <sheetName val="Consumption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C3">
            <v>2009</v>
          </cell>
        </row>
        <row r="78">
          <cell r="B78" t="str">
            <v>Califonia</v>
          </cell>
        </row>
        <row r="79">
          <cell r="B79" t="str">
            <v>Florida</v>
          </cell>
        </row>
        <row r="80">
          <cell r="B80" t="str">
            <v>Michigan</v>
          </cell>
        </row>
        <row r="81">
          <cell r="B81" t="str">
            <v>New Jersey</v>
          </cell>
        </row>
        <row r="82">
          <cell r="B82" t="str">
            <v>Ohio</v>
          </cell>
        </row>
        <row r="83">
          <cell r="B83" t="str">
            <v>Pennsylvania</v>
          </cell>
        </row>
        <row r="84">
          <cell r="B84" t="str">
            <v>North Carolina</v>
          </cell>
        </row>
        <row r="85">
          <cell r="B85" t="str">
            <v>Texas</v>
          </cell>
        </row>
        <row r="86">
          <cell r="B86" t="str">
            <v>Other states</v>
          </cell>
        </row>
      </sheetData>
      <sheetData sheetId="11">
        <row r="5">
          <cell r="J5" t="str">
            <v>2009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ntracen.org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eng.moa.gov.tw/upload/files/eng_web_structure/2505724/2-1%E8%BE%B2%E6%A5%AD%E7%94%9F%E7%94%A2111(%E9%83%A8).pdf" TargetMode="External"/><Relationship Id="rId1" Type="http://schemas.openxmlformats.org/officeDocument/2006/relationships/hyperlink" Target="https://eng.moa.gov.tw/upload/files/eng_web_structure/2505724/2-1%E8%BE%B2%E6%A5%AD%E7%94%9F%E7%94%A2111(%E9%83%A8).pdf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.bin"/><Relationship Id="rId3" Type="http://schemas.openxmlformats.org/officeDocument/2006/relationships/hyperlink" Target="https://www.trademap.org/Product_SelCountry_TS.aspx?nvpm=1%7c170%7c%7c%7c%7c06%7c%7c%7c4%7c1%7c1%7c1%7c2%7c1%7c1%7c1%7c1%7c1" TargetMode="External"/><Relationship Id="rId7" Type="http://schemas.openxmlformats.org/officeDocument/2006/relationships/hyperlink" Target="https://www.trademap.org/Product_SelCountry_TS.aspx?nvpm=1|170||||06|||4|1|1|2|2|1|1|1|1" TargetMode="External"/><Relationship Id="rId2" Type="http://schemas.openxmlformats.org/officeDocument/2006/relationships/hyperlink" Target="https://www.trademap.org/Product_SelCountry_TS.aspx?nvpm=1|170||||06|||4|1|1|2|2|1|1|1|1" TargetMode="External"/><Relationship Id="rId1" Type="http://schemas.openxmlformats.org/officeDocument/2006/relationships/hyperlink" Target="http://wdi.worldbank.org/table/WV.1" TargetMode="External"/><Relationship Id="rId6" Type="http://schemas.openxmlformats.org/officeDocument/2006/relationships/hyperlink" Target="https://www.trademap.org/Product_SelCountry_TS.aspx?nvpm=1|170||||06|||4|1|1|2|2|1|1|1|1" TargetMode="External"/><Relationship Id="rId5" Type="http://schemas.openxmlformats.org/officeDocument/2006/relationships/hyperlink" Target="https://www.trademap.org/Product_SelCountry_TS.aspx?nvpm=1|170||||06|||4|1|1|2|2|1|1|1|1" TargetMode="External"/><Relationship Id="rId4" Type="http://schemas.openxmlformats.org/officeDocument/2006/relationships/hyperlink" Target="https://www.trademap.org/Product_SelCountry_TS.aspx?nvpm=1|170||||06|||4|1|1|2|2|1|1|1|1" TargetMode="External"/><Relationship Id="rId9" Type="http://schemas.openxmlformats.org/officeDocument/2006/relationships/drawing" Target="../drawings/drawing5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www.infoagro.go.cr/wp-content/uploads/2024/10/BEA34.pdf" TargetMode="External"/><Relationship Id="rId1" Type="http://schemas.openxmlformats.org/officeDocument/2006/relationships/hyperlink" Target="http://www.infoagro.go.cr/EstadisticasAgropecuarias/Paginas/BoletinesEstadisticos.aspx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.bin"/><Relationship Id="rId3" Type="http://schemas.openxmlformats.org/officeDocument/2006/relationships/hyperlink" Target="http://www.statbank.dk/statbank5a/default.asp?w=1280" TargetMode="External"/><Relationship Id="rId7" Type="http://schemas.openxmlformats.org/officeDocument/2006/relationships/hyperlink" Target="http://www.statbank.dk/statbank5a/default.asp?w=1280" TargetMode="External"/><Relationship Id="rId2" Type="http://schemas.openxmlformats.org/officeDocument/2006/relationships/hyperlink" Target="https://ec.europa.eu/eurostat/databrowser/view/aact_eaa01__custom_12248425/default/table?lang=en" TargetMode="External"/><Relationship Id="rId1" Type="http://schemas.openxmlformats.org/officeDocument/2006/relationships/hyperlink" Target="http://wdi.worldbank.org/table/WV.1" TargetMode="External"/><Relationship Id="rId6" Type="http://schemas.openxmlformats.org/officeDocument/2006/relationships/hyperlink" Target="http://www.statbank.dk/statbank5a/default.asp?w=1280" TargetMode="External"/><Relationship Id="rId5" Type="http://schemas.openxmlformats.org/officeDocument/2006/relationships/hyperlink" Target="http://www.statbank.dk/statbank5a/default.asp?w=1280" TargetMode="External"/><Relationship Id="rId4" Type="http://schemas.openxmlformats.org/officeDocument/2006/relationships/hyperlink" Target="https://www.statbank.dk/20474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8.xml"/><Relationship Id="rId3" Type="http://schemas.openxmlformats.org/officeDocument/2006/relationships/hyperlink" Target="http://www.ecuadorencifras.gob.ec/estadisticas-agropecuarias-2/" TargetMode="External"/><Relationship Id="rId7" Type="http://schemas.openxmlformats.org/officeDocument/2006/relationships/hyperlink" Target="http://www.trademap.org/Country_SelProductCountry_TS.aspx?nvpm=1|218||||0603|||4|1|1|2|2|1|2|1|1" TargetMode="External"/><Relationship Id="rId2" Type="http://schemas.openxmlformats.org/officeDocument/2006/relationships/hyperlink" Target="http://www.ecuadorencifras.gob.ec/estadisticas-agropecuarias-2/" TargetMode="External"/><Relationship Id="rId1" Type="http://schemas.openxmlformats.org/officeDocument/2006/relationships/hyperlink" Target="http://wdi.worldbank.org/table/WV.1" TargetMode="External"/><Relationship Id="rId6" Type="http://schemas.openxmlformats.org/officeDocument/2006/relationships/hyperlink" Target="http://www.trademap.org/Country_SelProductCountry_TS.aspx?nvpm=1|218||||0603|||4|1|1|2|2|1|2|1|1" TargetMode="External"/><Relationship Id="rId5" Type="http://schemas.openxmlformats.org/officeDocument/2006/relationships/hyperlink" Target="http://www.trademap.org/Country_SelProductCountry_TS.aspx?nvpm=1|218||||0603|||4|1|1|2|2|1|2|1|1" TargetMode="External"/><Relationship Id="rId4" Type="http://schemas.openxmlformats.org/officeDocument/2006/relationships/hyperlink" Target="http://www.ecuadorencifras.gob.ec/estadisticas-agropecuarias-2/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demap.org/Country_SelProductCountry_TS.aspx?nvpm=1|231||||060210|||6|1|1|2|2|1|2|1|1" TargetMode="External"/><Relationship Id="rId7" Type="http://schemas.openxmlformats.org/officeDocument/2006/relationships/printerSettings" Target="../printerSettings/printerSettings10.bin"/><Relationship Id="rId2" Type="http://schemas.openxmlformats.org/officeDocument/2006/relationships/hyperlink" Target="http://ehpea.com/Cuttings.aspx" TargetMode="External"/><Relationship Id="rId1" Type="http://schemas.openxmlformats.org/officeDocument/2006/relationships/hyperlink" Target="http://ehpea.com/Floriculture.aspx" TargetMode="External"/><Relationship Id="rId6" Type="http://schemas.openxmlformats.org/officeDocument/2006/relationships/hyperlink" Target="https://www.trademap.org/tradestat/Product_SelCountry_TS.aspx?nvpm=1|818||||06|||4|1|1|1|2|1|1|1|1" TargetMode="External"/><Relationship Id="rId5" Type="http://schemas.openxmlformats.org/officeDocument/2006/relationships/hyperlink" Target="https://www.trademap.org/Country_SelProductCountry_TS.aspx?nvpm=1|231||||060210|||6|1|1|2|2|1|2|1|1" TargetMode="External"/><Relationship Id="rId4" Type="http://schemas.openxmlformats.org/officeDocument/2006/relationships/hyperlink" Target="https://www.trademap.org/Country_SelProductCountry_TS.aspx?nvpm=1|231||||060210|||6|1|1|2|2|1|2|1|1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db.luke.fi/PxWeb/pxweb/en/LUKE/LUKE__02%20Maatalous__04%20Tuotanto__20%20Puutarhatilastot/03c_Koristekasvituotanto_kasvihuoneissa_mk.px/table/tableViewLayout2/" TargetMode="External"/><Relationship Id="rId7" Type="http://schemas.openxmlformats.org/officeDocument/2006/relationships/comments" Target="../comments2.xml"/><Relationship Id="rId2" Type="http://schemas.openxmlformats.org/officeDocument/2006/relationships/hyperlink" Target="https://statdb.luke.fi/PxWeb/pxweb/en/LUKE/LUKE__02%20Maatalous__04%20Tuotanto__20%20Puutarhatilastot/02_Avomaatuotannon_jakautuminen_mk.px/" TargetMode="External"/><Relationship Id="rId1" Type="http://schemas.openxmlformats.org/officeDocument/2006/relationships/hyperlink" Target="https://statdb.luke.fi/PxWeb/pxweb/en/LUKE/LUKE__02%20Maatalous__04%20Tuotanto__20%20Puutarhatilastot/02_Avomaatuotannon_jakautuminen_mk.px/" TargetMode="External"/><Relationship Id="rId6" Type="http://schemas.openxmlformats.org/officeDocument/2006/relationships/vmlDrawing" Target="../drawings/vmlDrawing2.vml"/><Relationship Id="rId5" Type="http://schemas.openxmlformats.org/officeDocument/2006/relationships/printerSettings" Target="../printerSettings/printerSettings11.bin"/><Relationship Id="rId4" Type="http://schemas.openxmlformats.org/officeDocument/2006/relationships/hyperlink" Target="https://statdb.luke.fi/PxWeb/pxweb/en/LUKE/LUKE__02%20Maatalous__04%20Tuotanto__20%20Puutarhatilastot/03c_Koristekasvituotanto_kasvihuoneissa_mk.px/" TargetMode="Externa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ranceagrimer.fr/content/search/?recherche-search=&amp;recherche_simple%5BsearchText%5D=OBSERVATOIRES%20DES%20DONN%C3%89ES%20STRUCTURELLES%20DES%20ENTREPRISES%20DE%20L%27HORTICULTURE%20ET%20DE%20LA%20P%C3%89PINI%C3%88RE%20ORNEMENTALES&amp;recherche_si" TargetMode="External"/><Relationship Id="rId13" Type="http://schemas.openxmlformats.org/officeDocument/2006/relationships/hyperlink" Target="https://www.franceagrimer.fr/content/search/?recherche-search=&amp;recherche_simple%5BsearchText%5D=OBSERVATOIRES%20DES%20DONN%C3%89ES%20STRUCTURELLES%20DES%20ENTREPRISES%20DE%20L%27HORTICULTURE%20ET%20DE%20LA%20P%C3%89PINI%C3%88RE%20ORNEMENTALES&amp;recherche_si" TargetMode="External"/><Relationship Id="rId3" Type="http://schemas.openxmlformats.org/officeDocument/2006/relationships/hyperlink" Target="https://agreste.agriculture.gouv.fr/agreste-web/disaron/Chd2408/detail/" TargetMode="External"/><Relationship Id="rId7" Type="http://schemas.openxmlformats.org/officeDocument/2006/relationships/hyperlink" Target="https://www.franceagrimer.fr/content/search/?recherche-search=&amp;recherche_simple%5BsearchText%5D=OBSERVATOIRES%20DES%20DONN%C3%89ES%20STRUCTURELLES%20DES%20ENTREPRISES%20DE%20L%27HORTICULTURE%20ET%20DE%20LA%20P%C3%89PINI%C3%88RE%20ORNEMENTALES&amp;recherche_si" TargetMode="External"/><Relationship Id="rId12" Type="http://schemas.openxmlformats.org/officeDocument/2006/relationships/hyperlink" Target="https://www.franceagrimer.fr/content/search/?recherche-search=&amp;recherche_simple%5BsearchText%5D=OBSERVATOIRES%20DES%20DONN%C3%89ES%20STRUCTURELLES%20DES%20ENTREPRISES%20DE%20L%27HORTICULTURE%20ET%20DE%20LA%20P%C3%89PINI%C3%88RE%20ORNEMENTALES&amp;recherche_si" TargetMode="External"/><Relationship Id="rId2" Type="http://schemas.openxmlformats.org/officeDocument/2006/relationships/hyperlink" Target="https://ec.europa.eu/eurostat/databrowser/view/aact_eaa01__custom_12248425/default/table?lang=en" TargetMode="External"/><Relationship Id="rId1" Type="http://schemas.openxmlformats.org/officeDocument/2006/relationships/hyperlink" Target="http://wdi.worldbank.org/table/WV.1" TargetMode="External"/><Relationship Id="rId6" Type="http://schemas.openxmlformats.org/officeDocument/2006/relationships/hyperlink" Target="http://agreste.agriculture.gouv.fr/enquetes/structure-des-exploitations-964/recensement-agricole-2010/resultats-donnees-chiffrees/" TargetMode="External"/><Relationship Id="rId11" Type="http://schemas.openxmlformats.org/officeDocument/2006/relationships/hyperlink" Target="https://www.franceagrimer.fr/content/download/66206/document/SYN-HOR-2021-Observatoire_structurel_National_2020.pdf" TargetMode="External"/><Relationship Id="rId5" Type="http://schemas.openxmlformats.org/officeDocument/2006/relationships/hyperlink" Target="https://www.valhor.fr/etudes-statistiques/la-filiere-en-chiffres/production-horticole-et-pepiniere/?no_cache=1&amp;sword_list%5B%5D=France" TargetMode="External"/><Relationship Id="rId15" Type="http://schemas.openxmlformats.org/officeDocument/2006/relationships/drawing" Target="../drawings/drawing10.xml"/><Relationship Id="rId10" Type="http://schemas.openxmlformats.org/officeDocument/2006/relationships/hyperlink" Target="https://www.franceagrimer.fr/Actualite/Filieres/Horticulture/2022/Observatoires-des-donnees-structurelles-des-entreprises-de-l-horticulture-et-de-la-pepiniere-ornementales-donnees-2020" TargetMode="External"/><Relationship Id="rId4" Type="http://schemas.openxmlformats.org/officeDocument/2006/relationships/hyperlink" Target="https://www.franceagrimer.fr/content/search/?recherche-search=&amp;recherche_simple%5BsearchText%5D=OBSERVATOIRES%20DES%20DONN%C3%89ES%20STRUCTURELLES%20DES%20ENTREPRISES%20DE%20L%27HORTICULTURE%20ET%20DE%20LA%20P%C3%89PINI%C3%88RE%20ORNEMENTALES&amp;recherche_si" TargetMode="External"/><Relationship Id="rId9" Type="http://schemas.openxmlformats.org/officeDocument/2006/relationships/hyperlink" Target="https://www.franceagrimer.fr/content/search/?recherche-search=&amp;recherche_simple%5BsearchText%5D=OBSERVATOIRES%20DES%20DONN%C3%89ES%20STRUCTURELLES%20DES%20ENTREPRISES%20DE%20L%27HORTICULTURE%20ET%20DE%20LA%20P%C3%89PINI%C3%88RE%20ORNEMENTALES&amp;recherche_si" TargetMode="External"/><Relationship Id="rId14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estatis.de/DE/Themen/Branchen-Unternehmen/Landwirtschaft-Forstwirtschaft-Fischerei/Obst-Gemuese-Gartenbau/Publikationen/Downloads-Gartenbau/zierpflanzen-2030316219004.pdf?__blob=publicationFile" TargetMode="External"/><Relationship Id="rId13" Type="http://schemas.openxmlformats.org/officeDocument/2006/relationships/hyperlink" Target="https://www.destatis.de/DE/Themen/Branchen-Unternehmen/Landwirtschaft-Forstwirtschaft-Fischerei/Obst-Gemuese-Gartenbau/Publikationen/Downloads-Gartenbau/zierpflanzen-2030316219004.pdf?__blob=publicationFile" TargetMode="External"/><Relationship Id="rId3" Type="http://schemas.openxmlformats.org/officeDocument/2006/relationships/hyperlink" Target="https://www.destatis.de/DE/Themen/Branchen-Unternehmen/Landwirtschaft-Forstwirtschaft-Fischerei/Obst-Gemuese-Gartenbau/Publikationen/Downloads-Gartenbau/zierpflanzen-2030316219004.pdf?__blob=publicationFile" TargetMode="External"/><Relationship Id="rId7" Type="http://schemas.openxmlformats.org/officeDocument/2006/relationships/hyperlink" Target="https://www.destatis.de/DE/Themen/Branchen-Unternehmen/Landwirtschaft-Forstwirtschaft-Fischerei/Obst-Gemuese-Gartenbau/Publikationen/Downloads-Gartenbau/baumschulerhebung-2030317219004.pdf?__blob=publicationFile" TargetMode="External"/><Relationship Id="rId12" Type="http://schemas.openxmlformats.org/officeDocument/2006/relationships/hyperlink" Target="https://www.destatis.de/DE/Themen/Branchen-Unternehmen/Landwirtschaft-Forstwirtschaft-Fischerei/Obst-Gemuese-Gartenbau/Publikationen/Downloads-Gartenbau/zierpflanzen-2030316219004.pdf?__blob=publicationFile" TargetMode="External"/><Relationship Id="rId2" Type="http://schemas.openxmlformats.org/officeDocument/2006/relationships/hyperlink" Target="https://ec.europa.eu/eurostat/databrowser/view/aact_eaa01/default/table?lang=en" TargetMode="External"/><Relationship Id="rId1" Type="http://schemas.openxmlformats.org/officeDocument/2006/relationships/hyperlink" Target="http://wdi.worldbank.org/table/WV.1" TargetMode="External"/><Relationship Id="rId6" Type="http://schemas.openxmlformats.org/officeDocument/2006/relationships/hyperlink" Target="https://www.destatis.de/DE/Themen/Branchen-Unternehmen/Landwirtschaft-Forstwirtschaft-Fischerei/Obst-Gemuese-Gartenbau/Publikationen/Downloads-Gartenbau/baumschulerhebung-2030317219004.pdf?__blob=publicationFile" TargetMode="External"/><Relationship Id="rId11" Type="http://schemas.openxmlformats.org/officeDocument/2006/relationships/hyperlink" Target="https://www.destatis.de/DE/Themen/Branchen-Unternehmen/Landwirtschaft-Forstwirtschaft-Fischerei/Obst-Gemuese-Gartenbau/Publikationen/Downloads-Gartenbau/zierpflanzen-2030316219004.pdf?__blob=publicationFile" TargetMode="External"/><Relationship Id="rId5" Type="http://schemas.openxmlformats.org/officeDocument/2006/relationships/hyperlink" Target="https://www.destatis.de/DE/Themen/Branchen-Unternehmen/Landwirtschaft-Forstwirtschaft-Fischerei/Obst-Gemuese-Gartenbau/Publikationen/Downloads-Gartenbau/baumschulerhebung-2030317219004.pdf?__blob=publicationFile" TargetMode="External"/><Relationship Id="rId15" Type="http://schemas.openxmlformats.org/officeDocument/2006/relationships/drawing" Target="../drawings/drawing12.xml"/><Relationship Id="rId10" Type="http://schemas.openxmlformats.org/officeDocument/2006/relationships/hyperlink" Target="https://www.destatis.de/DE/Themen/Branchen-Unternehmen/Landwirtschaft-Forstwirtschaft-Fischerei/Obst-Gemuese-Gartenbau/Publikationen/Downloads-Gartenbau/zierpflanzen-2030316219004.pdf?__blob=publicationFile" TargetMode="External"/><Relationship Id="rId4" Type="http://schemas.openxmlformats.org/officeDocument/2006/relationships/hyperlink" Target="https://www.destatis.de/DE/Publikationen/Thematisch/LandForstwirtschaft/ObstGemueseGartenbau/Baumschulerhebung.html" TargetMode="External"/><Relationship Id="rId9" Type="http://schemas.openxmlformats.org/officeDocument/2006/relationships/hyperlink" Target="https://www.destatis.de/DE/Themen/Branchen-Unternehmen/Landwirtschaft-Forstwirtschaft-Fischerei/Obst-Gemuese-Gartenbau/Publikationen/Downloads-Gartenbau/zierpflanzen-2030316219004.pdf?__blob=publicationFile" TargetMode="External"/><Relationship Id="rId14" Type="http://schemas.openxmlformats.org/officeDocument/2006/relationships/printerSettings" Target="../printerSettings/printerSettings13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hyperlink" Target="http://aiph.org/wp-content/uploads/2017/09/Indonesia-Professor-Dr.-Budi-Marwoto.pdf" TargetMode="External"/><Relationship Id="rId1" Type="http://schemas.openxmlformats.org/officeDocument/2006/relationships/hyperlink" Target="http://aiph.org/wp-content/uploads/2017/09/Indonesia-Professor-Dr.-Budi-Marwoto.pdf" TargetMode="Externa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demap.org/Product_SelCountry_TS.aspx?nvpm=1|170||||06|||4|1|1|2|2|1|1|1|1" TargetMode="External"/><Relationship Id="rId3" Type="http://schemas.openxmlformats.org/officeDocument/2006/relationships/hyperlink" Target="https://www.trademap.org/Product_SelCountry_TS.aspx?nvpm=1|170||||06|||4|1|1|2|2|1|1|1|1" TargetMode="External"/><Relationship Id="rId7" Type="http://schemas.openxmlformats.org/officeDocument/2006/relationships/hyperlink" Target="https://www.trademap.org/Product_SelCountry_TS.aspx?nvpm=1|170||||06|||4|1|1|2|2|1|1|1|1" TargetMode="External"/><Relationship Id="rId2" Type="http://schemas.openxmlformats.org/officeDocument/2006/relationships/hyperlink" Target="https://www.trademap.org/Product_SelCountry_TS.aspx?nvpm=1|170||||06|||4|1|1|2|2|1|1|1|1" TargetMode="External"/><Relationship Id="rId1" Type="http://schemas.openxmlformats.org/officeDocument/2006/relationships/hyperlink" Target="http://wdi.worldbank.org/table/WV.1" TargetMode="External"/><Relationship Id="rId6" Type="http://schemas.openxmlformats.org/officeDocument/2006/relationships/hyperlink" Target="https://www.trademap.org/Product_SelCountry_TS.aspx?nvpm=1|170||||06|||4|1|1|2|2|1|1|1|1" TargetMode="External"/><Relationship Id="rId5" Type="http://schemas.openxmlformats.org/officeDocument/2006/relationships/hyperlink" Target="https://www.trademap.org/Product_SelCountry_TS.aspx?nvpm=1|170||||06|||4|1|1|2|2|1|1|1|1" TargetMode="External"/><Relationship Id="rId10" Type="http://schemas.openxmlformats.org/officeDocument/2006/relationships/drawing" Target="../drawings/drawing14.xml"/><Relationship Id="rId4" Type="http://schemas.openxmlformats.org/officeDocument/2006/relationships/hyperlink" Target="https://www.trademap.org/Product_SelCountry_TS.aspx?nvpm=1|170||||06|||4|1|1|2|2|1|1|1|1" TargetMode="External"/><Relationship Id="rId9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hyperlink" Target="https://agricoop.nic.in/en/statistics/state-level" TargetMode="External"/><Relationship Id="rId3" Type="http://schemas.openxmlformats.org/officeDocument/2006/relationships/hyperlink" Target="http://www.trademap.org/%28X%281%29S%28xyaexcig2tiymn55mvu3o145%29%29/Country_SelProductCountry_TS.aspx?nvpm=1|699||||0603|||4|1|1|2|2|1|2|1|1" TargetMode="External"/><Relationship Id="rId7" Type="http://schemas.openxmlformats.org/officeDocument/2006/relationships/hyperlink" Target="https://agricoop.nic.in/en/statistics/state-level" TargetMode="External"/><Relationship Id="rId2" Type="http://schemas.openxmlformats.org/officeDocument/2006/relationships/hyperlink" Target="https://agriwelfare.gov.in/en/StatHortEst" TargetMode="External"/><Relationship Id="rId1" Type="http://schemas.openxmlformats.org/officeDocument/2006/relationships/hyperlink" Target="http://wdi.worldbank.org/table/WV.1" TargetMode="External"/><Relationship Id="rId6" Type="http://schemas.openxmlformats.org/officeDocument/2006/relationships/hyperlink" Target="https://agricoop.nic.in/en/statistics/state-level" TargetMode="External"/><Relationship Id="rId5" Type="http://schemas.openxmlformats.org/officeDocument/2006/relationships/hyperlink" Target="http://www.trademap.org/%28X%281%29S%28xyaexcig2tiymn55mvu3o145%29%29/Country_SelProductCountry_TS.aspx?nvpm=1|699||||0603|||4|1|1|2|2|1|2|1|1" TargetMode="External"/><Relationship Id="rId4" Type="http://schemas.openxmlformats.org/officeDocument/2006/relationships/hyperlink" Target="http://www.trademap.org/%28X%281%29S%28xyaexcig2tiymn55mvu3o145%29%29/Country_SelProductCountry_TS.aspx?nvpm=1|699||||0603|||4|1|1|2|2|1|2|1|1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ordbia.ie/globalassets/bordbia.ie/industry/irish-sector-profiles/amenity-horticulture-industry-reports/bord-bia-amenity-sector-2021-management-report---smythpr.pdf" TargetMode="External"/><Relationship Id="rId2" Type="http://schemas.openxmlformats.org/officeDocument/2006/relationships/hyperlink" Target="https://www.gov.ie/en/collection/9151a-dafm-annual-reports/" TargetMode="External"/><Relationship Id="rId1" Type="http://schemas.openxmlformats.org/officeDocument/2006/relationships/hyperlink" Target="http://www.agriculture.gov.ie/media/migration/farmingsectors/horticulture/horticulturestatistics/NationalAmenityCensus2011.pdf" TargetMode="External"/><Relationship Id="rId6" Type="http://schemas.openxmlformats.org/officeDocument/2006/relationships/comments" Target="../comments3.xml"/><Relationship Id="rId5" Type="http://schemas.openxmlformats.org/officeDocument/2006/relationships/vmlDrawing" Target="../drawings/vmlDrawing3.vml"/><Relationship Id="rId4" Type="http://schemas.openxmlformats.org/officeDocument/2006/relationships/printerSettings" Target="../printerSettings/printerSettings1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hyperlink" Target="http://dati-censimentoagricoltura.istat.it/" TargetMode="External"/><Relationship Id="rId2" Type="http://schemas.openxmlformats.org/officeDocument/2006/relationships/hyperlink" Target="http://ec.europa.eu/eurostat/web/agriculture/data/database" TargetMode="External"/><Relationship Id="rId1" Type="http://schemas.openxmlformats.org/officeDocument/2006/relationships/hyperlink" Target="http://wdi.worldbank.org/table/WV.1" TargetMode="External"/><Relationship Id="rId6" Type="http://schemas.openxmlformats.org/officeDocument/2006/relationships/printerSettings" Target="../printerSettings/printerSettings20.bin"/><Relationship Id="rId5" Type="http://schemas.openxmlformats.org/officeDocument/2006/relationships/hyperlink" Target="http://dati-censimentoagricoltura.istat.it/" TargetMode="External"/><Relationship Id="rId4" Type="http://schemas.openxmlformats.org/officeDocument/2006/relationships/hyperlink" Target="http://www.ismea.it/flex/cm/pages/ServeBLOB.php/L/IT/IDPagina/1175" TargetMode="External"/></Relationships>
</file>

<file path=xl/worksheets/_rels/sheet2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tat.go.jp/english/data/nenkan/73nenkan/1431-08.html" TargetMode="External"/><Relationship Id="rId13" Type="http://schemas.openxmlformats.org/officeDocument/2006/relationships/hyperlink" Target="https://www.trademap.org/(X(1)S(shfhwg452xk5lk45o2u3vi45))/Country_SelProductCountry_TS.aspx?nvpm=1|392||||06|||2|1|1|1|2|1|2|1|2" TargetMode="External"/><Relationship Id="rId18" Type="http://schemas.openxmlformats.org/officeDocument/2006/relationships/drawing" Target="../drawings/drawing16.xml"/><Relationship Id="rId3" Type="http://schemas.openxmlformats.org/officeDocument/2006/relationships/hyperlink" Target="https://www.stat.go.jp/english/data/sousetai/es21.html" TargetMode="External"/><Relationship Id="rId7" Type="http://schemas.openxmlformats.org/officeDocument/2006/relationships/hyperlink" Target="https://www.maff.go.jp/e/data/stat/95th/index.html" TargetMode="External"/><Relationship Id="rId12" Type="http://schemas.openxmlformats.org/officeDocument/2006/relationships/hyperlink" Target="https://www.trademap.org/(X(1)S(shfhwg452xk5lk45o2u3vi45))/Country_SelProductCountry_TS.aspx?nvpm=1|392||||06|||2|1|1|1|2|1|2|1|2" TargetMode="External"/><Relationship Id="rId17" Type="http://schemas.openxmlformats.org/officeDocument/2006/relationships/hyperlink" Target="https://www.trademap.org/(X(1)S(shfhwg452xk5lk45o2u3vi45))/Country_SelProductCountry_TS.aspx?nvpm=1|392||||06|||2|1|1|1|2|1|2|1|2" TargetMode="External"/><Relationship Id="rId2" Type="http://schemas.openxmlformats.org/officeDocument/2006/relationships/hyperlink" Target="https://www.stat.go.jp/data/nenkan/74nenkan/zuhyou/y740813000.xlsx" TargetMode="External"/><Relationship Id="rId16" Type="http://schemas.openxmlformats.org/officeDocument/2006/relationships/hyperlink" Target="https://www.trademap.org/(X(1)S(shfhwg452xk5lk45o2u3vi45))/Country_SelProductCountry_TS.aspx?nvpm=1|392||||06|||2|1|1|1|2|1|2|1|2" TargetMode="External"/><Relationship Id="rId1" Type="http://schemas.openxmlformats.org/officeDocument/2006/relationships/hyperlink" Target="http://wdi.worldbank.org/table/WV.1" TargetMode="External"/><Relationship Id="rId6" Type="http://schemas.openxmlformats.org/officeDocument/2006/relationships/hyperlink" Target="https://www.maff.go.jp/e/data/stat/97th/index.html" TargetMode="External"/><Relationship Id="rId11" Type="http://schemas.openxmlformats.org/officeDocument/2006/relationships/hyperlink" Target="https://www.maff.go.jp/e/data/stat/95th/index.html" TargetMode="External"/><Relationship Id="rId5" Type="http://schemas.openxmlformats.org/officeDocument/2006/relationships/hyperlink" Target="https://www.e-stat.go.jp/en/stat-search/files?page=1&amp;layout=datalist&amp;toukei=00500209&amp;tstat=000001032920&amp;cycle=0&amp;tclass1=000001077437&amp;tclass2=000001097415" TargetMode="External"/><Relationship Id="rId15" Type="http://schemas.openxmlformats.org/officeDocument/2006/relationships/hyperlink" Target="https://www.trademap.org/(X(1)S(shfhwg452xk5lk45o2u3vi45))/Country_SelProductCountry_TS.aspx?nvpm=1|392||||06|||2|1|1|1|2|1|2|1|2" TargetMode="External"/><Relationship Id="rId10" Type="http://schemas.openxmlformats.org/officeDocument/2006/relationships/hyperlink" Target="https://www.maff.go.jp/e/data/stat/97th/index.html" TargetMode="External"/><Relationship Id="rId4" Type="http://schemas.openxmlformats.org/officeDocument/2006/relationships/hyperlink" Target="https://www.stat.go.jp/english/data/sousetai/es21.html" TargetMode="External"/><Relationship Id="rId9" Type="http://schemas.openxmlformats.org/officeDocument/2006/relationships/hyperlink" Target="http://www.maff.go.jp/e/policies/agri/attach/pdf/index-10.pdf" TargetMode="External"/><Relationship Id="rId14" Type="http://schemas.openxmlformats.org/officeDocument/2006/relationships/hyperlink" Target="https://www.trademap.org/(X(1)S(shfhwg452xk5lk45o2u3vi45))/Country_SelProductCountry_TS.aspx?nvpm=1|392||||06|||2|1|1|1|2|1|2|1|2" TargetMode="External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hyperlink" Target="http://www.horticulture.agricultureauthority.go.ke/index.php/statistics/statistics" TargetMode="External"/><Relationship Id="rId3" Type="http://schemas.openxmlformats.org/officeDocument/2006/relationships/hyperlink" Target="http://www.airc.go.ke/index.php?option=com_contact&amp;view=contact&amp;id=192%3Ahorticultural-crops-development-authority-hcda&amp;catid=116%3Aregulatory-licensing-a-marketing-agencies&amp;Itemid=98" TargetMode="External"/><Relationship Id="rId7" Type="http://schemas.openxmlformats.org/officeDocument/2006/relationships/hyperlink" Target="http://www.trademap.org/tradestat/Product_SelCountry_TS.aspx?nvpm=1|404||||06|||4|1|1|2|2|1|1|1|1" TargetMode="External"/><Relationship Id="rId2" Type="http://schemas.openxmlformats.org/officeDocument/2006/relationships/hyperlink" Target="http://www.airc.go.ke/index.php?option=com_contact&amp;view=contact&amp;id=192%3Ahorticultural-crops-development-authority-hcda&amp;catid=116%3Aregulatory-licensing-a-marketing-agencies&amp;Itemid=98" TargetMode="External"/><Relationship Id="rId1" Type="http://schemas.openxmlformats.org/officeDocument/2006/relationships/hyperlink" Target="http://wdi.worldbank.org/table/WV.1" TargetMode="External"/><Relationship Id="rId6" Type="http://schemas.openxmlformats.org/officeDocument/2006/relationships/hyperlink" Target="https://www.trademap.org/Country_SelProductCountry_TS.aspx?nvpm=1%7c404%7c%7c%7c%7c0603%7c%7c%7c4%7c1%7c1%7c2%7c2%7c1%7c2%7c1%7c1" TargetMode="External"/><Relationship Id="rId5" Type="http://schemas.openxmlformats.org/officeDocument/2006/relationships/hyperlink" Target="http://kenyaflowercouncil.org/?page_id=94" TargetMode="External"/><Relationship Id="rId4" Type="http://schemas.openxmlformats.org/officeDocument/2006/relationships/hyperlink" Target="http://www.trademap.org/tradestat/Product_SelCountry_TS.aspx?nvpm=1|404||||06|||4|1|1|2|2|1|1|1|1" TargetMode="Externa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undesbank.de/resource/blob/856124/c52d5849cfbc1db56a820b49182ff43a/mL/2021-01-15-12-17-20-wechselkursstatistik-data.pdf" TargetMode="External"/><Relationship Id="rId7" Type="http://schemas.openxmlformats.org/officeDocument/2006/relationships/comments" Target="../comments4.xml"/><Relationship Id="rId2" Type="http://schemas.openxmlformats.org/officeDocument/2006/relationships/hyperlink" Target="http://kosis.kr/eng/statisticsList/statisticsListIndex.do?menuId=M_01_01&amp;vwcd=MT_ETITLE&amp;parmTabId=M_01_01" TargetMode="External"/><Relationship Id="rId1" Type="http://schemas.openxmlformats.org/officeDocument/2006/relationships/hyperlink" Target="https://www.nihhs.go.kr/farmer/statistics/statistics.do?t_cd=0204" TargetMode="External"/><Relationship Id="rId6" Type="http://schemas.openxmlformats.org/officeDocument/2006/relationships/vmlDrawing" Target="../drawings/vmlDrawing4.vml"/><Relationship Id="rId5" Type="http://schemas.openxmlformats.org/officeDocument/2006/relationships/printerSettings" Target="../printerSettings/printerSettings21.bin"/><Relationship Id="rId4" Type="http://schemas.openxmlformats.org/officeDocument/2006/relationships/hyperlink" Target="http://kosis.kr/eng/statisticsList/statisticsListIndex.do?menuId=M_01_01&amp;vwcd=MT_ETITLE&amp;parmTabId=M_01_01" TargetMode="Externa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kpkm.gov.my/bm/penerbitan/perangkaan-agromakanan" TargetMode="External"/><Relationship Id="rId2" Type="http://schemas.openxmlformats.org/officeDocument/2006/relationships/hyperlink" Target="https://www.kpkm.gov.my/bm/penerbitan/perangkaan-agromakanan" TargetMode="External"/><Relationship Id="rId1" Type="http://schemas.openxmlformats.org/officeDocument/2006/relationships/hyperlink" Target="https://www.kpkm.gov.my/bm/penerbitan/perangkaan-agromakanan" TargetMode="External"/><Relationship Id="rId6" Type="http://schemas.openxmlformats.org/officeDocument/2006/relationships/comments" Target="../comments5.xml"/><Relationship Id="rId5" Type="http://schemas.openxmlformats.org/officeDocument/2006/relationships/vmlDrawing" Target="../drawings/vmlDrawing5.vml"/><Relationship Id="rId4" Type="http://schemas.openxmlformats.org/officeDocument/2006/relationships/printerSettings" Target="../printerSettings/printerSettings22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hyperlink" Target="https://nube.agricultura.gob.mx/cierre_agricola/" TargetMode="External"/><Relationship Id="rId2" Type="http://schemas.openxmlformats.org/officeDocument/2006/relationships/hyperlink" Target="https://www.gob.mx/agricultura/dgsiap/acciones-y-programas/produccion-agricola-33119" TargetMode="External"/><Relationship Id="rId1" Type="http://schemas.openxmlformats.org/officeDocument/2006/relationships/hyperlink" Target="http://www.gob.mx/siap/acciones-y-programas/produccion-agricola-33119" TargetMode="External"/><Relationship Id="rId5" Type="http://schemas.openxmlformats.org/officeDocument/2006/relationships/printerSettings" Target="../printerSettings/printerSettings23.bin"/><Relationship Id="rId4" Type="http://schemas.openxmlformats.org/officeDocument/2006/relationships/hyperlink" Target="https://nube.agricultura.gob.mx/cierre_agricola/" TargetMode="External"/></Relationships>
</file>

<file path=xl/worksheets/_rels/sheet33.xml.rels><?xml version="1.0" encoding="UTF-8" standalone="yes"?>
<Relationships xmlns="http://schemas.openxmlformats.org/package/2006/relationships"><Relationship Id="rId8" Type="http://schemas.openxmlformats.org/officeDocument/2006/relationships/hyperlink" Target="https://opendata.cbs.nl/statline/" TargetMode="External"/><Relationship Id="rId3" Type="http://schemas.openxmlformats.org/officeDocument/2006/relationships/hyperlink" Target="https://opendata.cbs.nl/statline/" TargetMode="External"/><Relationship Id="rId7" Type="http://schemas.openxmlformats.org/officeDocument/2006/relationships/hyperlink" Target="https://opendata.cbs.nl/statline/" TargetMode="External"/><Relationship Id="rId2" Type="http://schemas.openxmlformats.org/officeDocument/2006/relationships/hyperlink" Target="https://ec.europa.eu/eurostat/databrowser/view/aact_eaa01__custom_12248425/default/table?lang=en" TargetMode="External"/><Relationship Id="rId1" Type="http://schemas.openxmlformats.org/officeDocument/2006/relationships/hyperlink" Target="http://wdi.worldbank.org/table/WV.1" TargetMode="External"/><Relationship Id="rId6" Type="http://schemas.openxmlformats.org/officeDocument/2006/relationships/hyperlink" Target="https://opendata.cbs.nl/statline/" TargetMode="External"/><Relationship Id="rId5" Type="http://schemas.openxmlformats.org/officeDocument/2006/relationships/hyperlink" Target="https://opendata.cbs.nl/statline/" TargetMode="External"/><Relationship Id="rId4" Type="http://schemas.openxmlformats.org/officeDocument/2006/relationships/hyperlink" Target="https://www.bkd.eu/onze-dienstverlening/voorlopige-statistieken/" TargetMode="External"/><Relationship Id="rId9" Type="http://schemas.openxmlformats.org/officeDocument/2006/relationships/printerSettings" Target="../printerSettings/printerSettings24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5.bin"/><Relationship Id="rId2" Type="http://schemas.openxmlformats.org/officeDocument/2006/relationships/hyperlink" Target="https://www.ssb.no/en/statbank/table/12831/tableViewLayout1/" TargetMode="External"/><Relationship Id="rId1" Type="http://schemas.openxmlformats.org/officeDocument/2006/relationships/hyperlink" Target="https://www.ssb.no/en/statbank/table/12833/tableViewLayout1/" TargetMode="Externa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http://wdi.worldbank.org/table/WV.1" TargetMode="Externa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apa.gob.es/estadistica/pags/anuario/2023-Avance/FORMATO%20PDF/AE23-C07/CAP%C3%8DTULO%207.pdf" TargetMode="External"/><Relationship Id="rId7" Type="http://schemas.openxmlformats.org/officeDocument/2006/relationships/printerSettings" Target="../printerSettings/printerSettings27.bin"/><Relationship Id="rId2" Type="http://schemas.openxmlformats.org/officeDocument/2006/relationships/hyperlink" Target="https://ec.europa.eu/eurostat/databrowser/view/aact_eaa01__custom_12248425/default/table?lang=en" TargetMode="External"/><Relationship Id="rId1" Type="http://schemas.openxmlformats.org/officeDocument/2006/relationships/hyperlink" Target="http://wdi.worldbank.org/table/WV.1" TargetMode="External"/><Relationship Id="rId6" Type="http://schemas.openxmlformats.org/officeDocument/2006/relationships/hyperlink" Target="https://www.mapa.gob.es/estadistica/pags/anuario/2023-Avance/FORMATO%20PDF/AE23-C07/CAP%C3%8DTULO%207.pdf" TargetMode="External"/><Relationship Id="rId5" Type="http://schemas.openxmlformats.org/officeDocument/2006/relationships/hyperlink" Target="https://www.mapa.gob.es/estadistica/pags/anuario/2023-Avance/FORMATO%20PDF/AE23-C07/CAP%C3%8DTULO%207.pdf" TargetMode="External"/><Relationship Id="rId4" Type="http://schemas.openxmlformats.org/officeDocument/2006/relationships/hyperlink" Target="https://www.mapa.gob.es/estadistica/pags/anuario/2020-Avance/AVANCE_ANUARIO/AvAE20.pdf" TargetMode="Externa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istik.sjv.se/PXWeb/pxweb/sv/Jordbruksverkets%20statistikdatabas/Jordbruksverkets%20statistikdatabas__Tradgardsodling__Odling__Prydnadsvaxter/JO0102Q12.px/" TargetMode="External"/><Relationship Id="rId2" Type="http://schemas.openxmlformats.org/officeDocument/2006/relationships/hyperlink" Target="https://jordbruksverket.se/download/18.5b2259aa171e77bf76c6d8da/1588833217430/JO33SM1801%20korr.pdf" TargetMode="External"/><Relationship Id="rId1" Type="http://schemas.openxmlformats.org/officeDocument/2006/relationships/hyperlink" Target="https://statistik.sjv.se/PXWeb/pxweb/sv/Jordbruksverkets%20statistikdatabas/?rxid=5adf4929-f548-4f27-9bc9-78e127837625" TargetMode="External"/><Relationship Id="rId6" Type="http://schemas.openxmlformats.org/officeDocument/2006/relationships/printerSettings" Target="../printerSettings/printerSettings28.bin"/><Relationship Id="rId5" Type="http://schemas.openxmlformats.org/officeDocument/2006/relationships/hyperlink" Target="https://statistik.sjv.se/PXWeb/pxweb/sv/Jordbruksverkets%20statistikdatabas/Jordbruksverkets%20statistikdatabas__Tradgardsodling__Oversikt/JO0102L01.px/table/tableViewLayout2/?loadedQueryId=a69d64e3-062f-4079-8b76-c361fe957e04&amp;timeType=item" TargetMode="External"/><Relationship Id="rId4" Type="http://schemas.openxmlformats.org/officeDocument/2006/relationships/hyperlink" Target="https://jordbruksverket.se/om-jordbruksverket/jordbruksverkets-officiella-statistik/jordbruksverkets-statistikrapporter/statistik/2021-06-29-tradgardsproduktion-2020" TargetMode="Externa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.bin"/><Relationship Id="rId2" Type="http://schemas.openxmlformats.org/officeDocument/2006/relationships/hyperlink" Target="https://www.pxweb.bfs.admin.ch/pxweb/de/px-x-0702000000_106/-/px-x-0702000000_106.px/table/tableViewLayout2/?rxid=e95b82bb-d7ac-4feb-988b-b6ff583893ca" TargetMode="External"/><Relationship Id="rId1" Type="http://schemas.openxmlformats.org/officeDocument/2006/relationships/hyperlink" Target="https://www.pxweb.bfs.admin.ch/pxweb/de/px-x-0702000000_106/-/px-x-0702000000_106.px" TargetMode="External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0.bin"/><Relationship Id="rId1" Type="http://schemas.openxmlformats.org/officeDocument/2006/relationships/hyperlink" Target="http://mis-app.oae.go.th/product/%E0%B8%81%E0%B8%A5%E0%B9%89%E0%B8%A7%E0%B8%A2%E0%B9%84%E0%B8%A1%E0%B9%89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0.xml.rels><?xml version="1.0" encoding="UTF-8" standalone="yes"?>
<Relationships xmlns="http://schemas.openxmlformats.org/package/2006/relationships"><Relationship Id="rId8" Type="http://schemas.openxmlformats.org/officeDocument/2006/relationships/hyperlink" Target="https://biruni.tuik.gov.tr/disticaretapp/menu_ing.zul" TargetMode="External"/><Relationship Id="rId3" Type="http://schemas.openxmlformats.org/officeDocument/2006/relationships/hyperlink" Target="http://www.turkstat.gov.tr/PreTablo.do?alt_id=1001" TargetMode="External"/><Relationship Id="rId7" Type="http://schemas.openxmlformats.org/officeDocument/2006/relationships/hyperlink" Target="https://biruni.tuik.gov.tr/disticaretapp/menu_ing.zul" TargetMode="External"/><Relationship Id="rId12" Type="http://schemas.openxmlformats.org/officeDocument/2006/relationships/printerSettings" Target="../printerSettings/printerSettings31.bin"/><Relationship Id="rId2" Type="http://schemas.openxmlformats.org/officeDocument/2006/relationships/hyperlink" Target="http://www.turkstat.gov.tr/PreTablo.do?alt_id=1001" TargetMode="External"/><Relationship Id="rId1" Type="http://schemas.openxmlformats.org/officeDocument/2006/relationships/hyperlink" Target="http://wdi.worldbank.org/table/WV.1" TargetMode="External"/><Relationship Id="rId6" Type="http://schemas.openxmlformats.org/officeDocument/2006/relationships/hyperlink" Target="https://biruni.tuik.gov.tr/disticaretapp/menu_ing.zul" TargetMode="External"/><Relationship Id="rId11" Type="http://schemas.openxmlformats.org/officeDocument/2006/relationships/hyperlink" Target="https://data.tuik.gov.tr/Bulten/Index?p=Crop-Production-Statistics-2021-37249" TargetMode="External"/><Relationship Id="rId5" Type="http://schemas.openxmlformats.org/officeDocument/2006/relationships/hyperlink" Target="https://biruni.tuik.gov.tr/disticaretapp/menu_ing.zul" TargetMode="External"/><Relationship Id="rId10" Type="http://schemas.openxmlformats.org/officeDocument/2006/relationships/hyperlink" Target="https://data.tuik.gov.tr/Bulten/Index?p=Crop-Production-Statistics-2021-37249" TargetMode="External"/><Relationship Id="rId4" Type="http://schemas.openxmlformats.org/officeDocument/2006/relationships/hyperlink" Target="https://biruni.tuik.gov.tr/bitkiselapp/bitkisel_ing.zul" TargetMode="External"/><Relationship Id="rId9" Type="http://schemas.openxmlformats.org/officeDocument/2006/relationships/hyperlink" Target="https://biruni.tuik.gov.tr/disticaretapp/menu_ing.zul" TargetMode="Externa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rademap.org/" TargetMode="External"/><Relationship Id="rId2" Type="http://schemas.openxmlformats.org/officeDocument/2006/relationships/hyperlink" Target="https://www.trademap.org/Country_SelProductCountry_TS.aspx?nvpm=1%7c800%7c%7c%7c%7c060240%7c%7c%7c6%7c1%7c1%7c2%7c2%7c1%7c2%7c1%7c1" TargetMode="External"/><Relationship Id="rId1" Type="http://schemas.openxmlformats.org/officeDocument/2006/relationships/hyperlink" Target="https://www.trademap.org/Country_SelProductCountry_TS.aspx?nvpm=1%7c800%7c%7c%7c%7c0602%7c%7c%7c4%7c1%7c1%7c2%7c2%7c1%7c2%7c1%7c1" TargetMode="External"/><Relationship Id="rId4" Type="http://schemas.openxmlformats.org/officeDocument/2006/relationships/hyperlink" Target="https://www.trademap.org/Product_SelCountry_TS.aspx?nvpm=1%7c800%7c%7c%7c%7c06%7c%7c%7c4%7c1%7c1%7c2%7c2%7c1%7c1%7c1%7c1%7c1" TargetMode="External"/></Relationships>
</file>

<file path=xl/worksheets/_rels/sheet4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2.bin"/><Relationship Id="rId3" Type="http://schemas.openxmlformats.org/officeDocument/2006/relationships/hyperlink" Target="https://www.trademap.org/tradestat/Product_SelCountry_TS.aspx?nvpm=1%7c484%7c%7c%7c%7c06%7c%7c%7c4%7c1%7c1%7c2%7c2%7c1%7c1%7c1%7c1" TargetMode="External"/><Relationship Id="rId7" Type="http://schemas.openxmlformats.org/officeDocument/2006/relationships/hyperlink" Target="https://www.uktradeinfo.com/trade-data/ots-custom-table/" TargetMode="External"/><Relationship Id="rId2" Type="http://schemas.openxmlformats.org/officeDocument/2006/relationships/hyperlink" Target="https://www.trademap.org/tradestat/Product_SelCountry_TS.aspx?nvpm=1%7c484%7c%7c%7c%7c06%7c%7c%7c4%7c1%7c1%7c1%7c2%7c1%7c1%7c1%7c1" TargetMode="External"/><Relationship Id="rId1" Type="http://schemas.openxmlformats.org/officeDocument/2006/relationships/hyperlink" Target="http://wdi.worldbank.org/table/WV.1" TargetMode="External"/><Relationship Id="rId6" Type="http://schemas.openxmlformats.org/officeDocument/2006/relationships/hyperlink" Target="https://www.gov.uk/government/statistics/agricultural-land-use-in-england" TargetMode="External"/><Relationship Id="rId5" Type="http://schemas.openxmlformats.org/officeDocument/2006/relationships/hyperlink" Target="https://www.gov.uk/government/statistics/farming-statistics-final-crop-areas-yields-livestock-populations-and-agricultural-workforce-at-1-june-2021-uk" TargetMode="External"/><Relationship Id="rId4" Type="http://schemas.openxmlformats.org/officeDocument/2006/relationships/hyperlink" Target="https://www.gov.uk/government/statistics/agriculture-in-the-united-kingdom-2023/chapter-7-crops" TargetMode="External"/></Relationships>
</file>

<file path=xl/worksheets/_rels/sheet43.xml.rels><?xml version="1.0" encoding="UTF-8" standalone="yes"?>
<Relationships xmlns="http://schemas.openxmlformats.org/package/2006/relationships"><Relationship Id="rId8" Type="http://schemas.openxmlformats.org/officeDocument/2006/relationships/hyperlink" Target="https://quickstats.nass.usda.gov/" TargetMode="External"/><Relationship Id="rId13" Type="http://schemas.openxmlformats.org/officeDocument/2006/relationships/hyperlink" Target="https://apps.fas.usda.gov/gats/default.aspx" TargetMode="External"/><Relationship Id="rId18" Type="http://schemas.openxmlformats.org/officeDocument/2006/relationships/hyperlink" Target="https://www.nass.usda.gov/Publications/Highlights/2024/2023-floriculture-highlights.pdf" TargetMode="External"/><Relationship Id="rId3" Type="http://schemas.openxmlformats.org/officeDocument/2006/relationships/hyperlink" Target="https://www.nass.usda.gov/Publications/AgCensus/2022/" TargetMode="External"/><Relationship Id="rId21" Type="http://schemas.openxmlformats.org/officeDocument/2006/relationships/hyperlink" Target="https://quickstats.nass.usda.gov/" TargetMode="External"/><Relationship Id="rId7" Type="http://schemas.openxmlformats.org/officeDocument/2006/relationships/hyperlink" Target="https://quickstats.nass.usda.gov/" TargetMode="External"/><Relationship Id="rId12" Type="http://schemas.openxmlformats.org/officeDocument/2006/relationships/hyperlink" Target="https://apps.fas.usda.gov/gats/default.aspx" TargetMode="External"/><Relationship Id="rId17" Type="http://schemas.openxmlformats.org/officeDocument/2006/relationships/hyperlink" Target="https://www.nass.usda.gov/Publications/Highlights/2024/2023-floriculture-highlights.pdf" TargetMode="External"/><Relationship Id="rId2" Type="http://schemas.openxmlformats.org/officeDocument/2006/relationships/hyperlink" Target="https://www.nass.usda.gov/Publications/AgCensus/2022/" TargetMode="External"/><Relationship Id="rId16" Type="http://schemas.openxmlformats.org/officeDocument/2006/relationships/hyperlink" Target="https://apps.fas.usda.gov/gats/default.aspx" TargetMode="External"/><Relationship Id="rId20" Type="http://schemas.openxmlformats.org/officeDocument/2006/relationships/hyperlink" Target="https://apps.bea.gov/iTable/?reqid=19&amp;step=3&amp;isuri=1&amp;1921=underlying&amp;1903=2017" TargetMode="External"/><Relationship Id="rId1" Type="http://schemas.openxmlformats.org/officeDocument/2006/relationships/hyperlink" Target="http://wdi.worldbank.org/table/WV.1" TargetMode="External"/><Relationship Id="rId6" Type="http://schemas.openxmlformats.org/officeDocument/2006/relationships/hyperlink" Target="https://quickstats.nass.usda.gov/" TargetMode="External"/><Relationship Id="rId11" Type="http://schemas.openxmlformats.org/officeDocument/2006/relationships/hyperlink" Target="https://apps.fas.usda.gov/gats/default.aspx" TargetMode="External"/><Relationship Id="rId24" Type="http://schemas.openxmlformats.org/officeDocument/2006/relationships/drawing" Target="../drawings/drawing19.xml"/><Relationship Id="rId5" Type="http://schemas.openxmlformats.org/officeDocument/2006/relationships/hyperlink" Target="https://quickstats.nass.usda.gov/" TargetMode="External"/><Relationship Id="rId15" Type="http://schemas.openxmlformats.org/officeDocument/2006/relationships/hyperlink" Target="https://apps.fas.usda.gov/gats/default.aspx" TargetMode="External"/><Relationship Id="rId23" Type="http://schemas.openxmlformats.org/officeDocument/2006/relationships/printerSettings" Target="../printerSettings/printerSettings33.bin"/><Relationship Id="rId10" Type="http://schemas.openxmlformats.org/officeDocument/2006/relationships/hyperlink" Target="https://www.nass.usda.gov/Publications/AgCensus/2017/index.php" TargetMode="External"/><Relationship Id="rId19" Type="http://schemas.openxmlformats.org/officeDocument/2006/relationships/hyperlink" Target="https://www.nass.usda.gov/Publications/Highlights/2023/Floriculture_Highlights.pdf" TargetMode="External"/><Relationship Id="rId4" Type="http://schemas.openxmlformats.org/officeDocument/2006/relationships/hyperlink" Target="https://www.nass.usda.gov/Publications/AgCensus/2022/" TargetMode="External"/><Relationship Id="rId9" Type="http://schemas.openxmlformats.org/officeDocument/2006/relationships/hyperlink" Target="https://quickstats.nass.usda.gov/" TargetMode="External"/><Relationship Id="rId14" Type="http://schemas.openxmlformats.org/officeDocument/2006/relationships/hyperlink" Target="https://apps.fas.usda.gov/gats/default.aspx" TargetMode="External"/><Relationship Id="rId22" Type="http://schemas.openxmlformats.org/officeDocument/2006/relationships/hyperlink" Target="https://www.nass.usda.gov/Publications/Highlights/2023/Floriculture_Highlights.pdf" TargetMode="External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hyperlink" Target="https://vietnamnews.vn/society/962168/flowers-and-ornamental-plants-are-key-agriculture-products-of-ha-noi.html" TargetMode="External"/><Relationship Id="rId2" Type="http://schemas.openxmlformats.org/officeDocument/2006/relationships/hyperlink" Target="https://www.researchgate.net/publication/351450382_Vietnam_Journal_of_Agricultural_Sciences_Vegetable_and_Flower_Production_in_the_Central_Highlands_of_Vietnam_Current_Status_and_Perspective_Strategies" TargetMode="External"/><Relationship Id="rId1" Type="http://schemas.openxmlformats.org/officeDocument/2006/relationships/hyperlink" Target="http://china.nlambassade.org/binaries/content/assets/postenweb/c/china/zaken-doen-in-china/import/kansen_en_sectoren/tuinbouw/rapporten_over_tuinbouw/an-overview-of-the-floriculture-sector-in-greater-china-thailand-vietnam" TargetMode="External"/><Relationship Id="rId5" Type="http://schemas.openxmlformats.org/officeDocument/2006/relationships/printerSettings" Target="../printerSettings/printerSettings34.bin"/><Relationship Id="rId4" Type="http://schemas.openxmlformats.org/officeDocument/2006/relationships/hyperlink" Target="https://vietnamnet.vn/en/flower-and-ornamental-plant-production-on-the-rise-731070.html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demap.org/(X(1)S(d2l5khusgqfloh55ru4rvb55))/tradestat/Product_SelCountry_TS.aspx?nvpm=1%7c036%7c%7c%7c%7c0603%7c%7c%7c4%7c1%7c1%7c1%7c2%7c1%7c1%7c1%7c1" TargetMode="External"/><Relationship Id="rId13" Type="http://schemas.openxmlformats.org/officeDocument/2006/relationships/hyperlink" Target="https://www.horticulture.com.au/globalassets/hort-innovation/australian-horticulture-statistics-handbook/hort-innovation-ahsh-2023-24-other-r.pdf" TargetMode="External"/><Relationship Id="rId3" Type="http://schemas.openxmlformats.org/officeDocument/2006/relationships/hyperlink" Target="http://www.abs.gov.au/AUSSTATS/abs@.nsf/DetailsPage/7121.02016-17?OpenDocument" TargetMode="External"/><Relationship Id="rId7" Type="http://schemas.openxmlformats.org/officeDocument/2006/relationships/hyperlink" Target="https://www.horticulture.com.au/globalassets/hort-innovation/australian-horticulture-statistics-handbook/hort-innovation-ahsh-2023-24-other-r.pdf" TargetMode="External"/><Relationship Id="rId12" Type="http://schemas.openxmlformats.org/officeDocument/2006/relationships/hyperlink" Target="https://www.horticulture.com.au/globalassets/hort-innovation/australian-horticulture-statistics-handbook/hort-innovation-ahsh-2023-24-other-r.pdf" TargetMode="External"/><Relationship Id="rId2" Type="http://schemas.openxmlformats.org/officeDocument/2006/relationships/hyperlink" Target="https://www.abs.gov.au/AUSSTATS/abs@.nsf/DetailsPage/7503.02018-19?OpenDocument" TargetMode="External"/><Relationship Id="rId1" Type="http://schemas.openxmlformats.org/officeDocument/2006/relationships/hyperlink" Target="http://wdi.worldbank.org/table/WV.1" TargetMode="External"/><Relationship Id="rId6" Type="http://schemas.openxmlformats.org/officeDocument/2006/relationships/hyperlink" Target="https://www.abs.gov.au/AUSSTATS/abs@.nsf/DetailsPage/7121.02018-19?OpenDocument" TargetMode="External"/><Relationship Id="rId11" Type="http://schemas.openxmlformats.org/officeDocument/2006/relationships/hyperlink" Target="https://www.horticulture.com.au/globalassets/hort-innovation/australian-horticulture-statistics-handbook/hort-innovation-ahsh-2023-24-other-r.pdf" TargetMode="External"/><Relationship Id="rId5" Type="http://schemas.openxmlformats.org/officeDocument/2006/relationships/hyperlink" Target="https://www.abs.gov.au/AUSSTATS/abs@.nsf/DetailsPage/7121.02018-19?OpenDocument" TargetMode="External"/><Relationship Id="rId10" Type="http://schemas.openxmlformats.org/officeDocument/2006/relationships/hyperlink" Target="https://www.trademap.org/(X(1)S(d2l5khusgqfloh55ru4rvb55))/tradestat/Product_SelCountry_TS.aspx?nvpm=1%7c036%7c%7c%7c%7c0603%7c%7c%7c4%7c1%7c1%7c2%7c2%7c1%7c1%7c1%7c1" TargetMode="External"/><Relationship Id="rId4" Type="http://schemas.openxmlformats.org/officeDocument/2006/relationships/hyperlink" Target="https://www.abs.gov.au/AUSSTATS/abs@.nsf/DetailsPage/7121.02018-19?OpenDocument" TargetMode="External"/><Relationship Id="rId9" Type="http://schemas.openxmlformats.org/officeDocument/2006/relationships/hyperlink" Target="https://www.trademap.org/(X(1)S(d2l5khusgqfloh55ru4rvb55))/tradestat/Country_SelProductCountry_TS.aspx?nvpm=1%7c036%7c%7c%7c%7c0603%7c%7c%7c4%7c1%7c1%7c1%7c2%7c1%7c2%7c1%7c1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atistik.at/fileadmin/publications/SB_1-17_AS2020.pdf" TargetMode="External"/><Relationship Id="rId2" Type="http://schemas.openxmlformats.org/officeDocument/2006/relationships/hyperlink" Target="https://www.statistik.at/statistiken/land-und-forstwirtschaft/betriebsstruktur/bodennutzung" TargetMode="External"/><Relationship Id="rId1" Type="http://schemas.openxmlformats.org/officeDocument/2006/relationships/hyperlink" Target="https://www.statistik.at/statistiken/land-und-forstwirtschaft/pflanzenbau/ackerbau-dauergruenland" TargetMode="External"/><Relationship Id="rId4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statbel.fgov.be/nl/themas/landbouw-visserij/land-en-tuinbouwbedrijven" TargetMode="External"/><Relationship Id="rId1" Type="http://schemas.openxmlformats.org/officeDocument/2006/relationships/hyperlink" Target="https://statbel.fgov.be/nl/themas/landbouw-visserij/land-en-tuinbouwbedrijven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354d6537-ca5e-4df4-8c1b-3fa4f2dbe678.filesusr.com/ugd/b3d028_e002f96eeb81495ea3e08362b49881a3.pdf" TargetMode="External"/><Relationship Id="rId7" Type="http://schemas.openxmlformats.org/officeDocument/2006/relationships/printerSettings" Target="../printerSettings/printerSettings3.bin"/><Relationship Id="rId2" Type="http://schemas.openxmlformats.org/officeDocument/2006/relationships/hyperlink" Target="https://ornamentalhorticulture.emnuvens.com.br/rbho/article/view/1253" TargetMode="External"/><Relationship Id="rId1" Type="http://schemas.openxmlformats.org/officeDocument/2006/relationships/hyperlink" Target="https://354d6537-ca5e-4df4-8c1b-3fa4f2dbe678.filesusr.com/ugd/b3d028_e002f96eeb81495ea3e08362b49881a3.pdf" TargetMode="External"/><Relationship Id="rId6" Type="http://schemas.openxmlformats.org/officeDocument/2006/relationships/hyperlink" Target="https://354d6537-ca5e-4df4-8c1b-3fa4f2dbe678.filesusr.com/ugd/b3d028_e002f96eeb81495ea3e08362b49881a3.pdf" TargetMode="External"/><Relationship Id="rId5" Type="http://schemas.openxmlformats.org/officeDocument/2006/relationships/hyperlink" Target="https://354d6537-ca5e-4df4-8c1b-3fa4f2dbe678.filesusr.com/ugd/b3d028_e002f96eeb81495ea3e08362b49881a3.pdf" TargetMode="External"/><Relationship Id="rId4" Type="http://schemas.openxmlformats.org/officeDocument/2006/relationships/hyperlink" Target="https://354d6537-ca5e-4df4-8c1b-3fa4f2dbe678.filesusr.com/ugd/b3d028_e002f96eeb81495ea3e08362b49881a3.pdf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www150.statcan.gc.ca/t1/tbl1/en/cv.action?pid=3210003101" TargetMode="External"/><Relationship Id="rId13" Type="http://schemas.openxmlformats.org/officeDocument/2006/relationships/hyperlink" Target="https://www150.statcan.gc.ca/t1/tbl1/en/tv.action?pid=3210003301" TargetMode="External"/><Relationship Id="rId18" Type="http://schemas.openxmlformats.org/officeDocument/2006/relationships/hyperlink" Target="http://www5.statcan.gc.ca/cansim/a47" TargetMode="External"/><Relationship Id="rId3" Type="http://schemas.openxmlformats.org/officeDocument/2006/relationships/hyperlink" Target="https://www150.statcan.gc.ca/t1/tbl1/en/tv.action?pid=3210002901" TargetMode="External"/><Relationship Id="rId21" Type="http://schemas.openxmlformats.org/officeDocument/2006/relationships/printerSettings" Target="../printerSettings/printerSettings4.bin"/><Relationship Id="rId7" Type="http://schemas.openxmlformats.org/officeDocument/2006/relationships/hyperlink" Target="http://www.agr.gc.ca/eng/industry-markets-and-trade/market-information-by-sector/horticulture/horticulture-sector-reports/?id=1368482338314" TargetMode="External"/><Relationship Id="rId12" Type="http://schemas.openxmlformats.org/officeDocument/2006/relationships/hyperlink" Target="https://www150.statcan.gc.ca/t1/tbl1/en/tv.action?pid=3210024601" TargetMode="External"/><Relationship Id="rId17" Type="http://schemas.openxmlformats.org/officeDocument/2006/relationships/hyperlink" Target="http://www5.statcan.gc.ca/cansim/a47" TargetMode="External"/><Relationship Id="rId2" Type="http://schemas.openxmlformats.org/officeDocument/2006/relationships/hyperlink" Target="https://www150.statcan.gc.ca/t1/tbl1/en/tv.action?pid=3210001901&amp;pickMembers%5B0%5D=1.1&amp;pickMembers%5B1%5D=3.5" TargetMode="External"/><Relationship Id="rId16" Type="http://schemas.openxmlformats.org/officeDocument/2006/relationships/hyperlink" Target="https://www150.statcan.gc.ca/t1/tbl1/en/tv.action?pid=3210045201" TargetMode="External"/><Relationship Id="rId20" Type="http://schemas.openxmlformats.org/officeDocument/2006/relationships/hyperlink" Target="https://agriculture.canada.ca/sites/default/files/documents/2024-08/OrnamentalReport_2023_EN.pdf" TargetMode="External"/><Relationship Id="rId1" Type="http://schemas.openxmlformats.org/officeDocument/2006/relationships/hyperlink" Target="http://wdi.worldbank.org/table/WV.1" TargetMode="External"/><Relationship Id="rId6" Type="http://schemas.openxmlformats.org/officeDocument/2006/relationships/hyperlink" Target="https://www150.statcan.gc.ca/t1/tbl1/en/tv.action?pid=3210045201" TargetMode="External"/><Relationship Id="rId11" Type="http://schemas.openxmlformats.org/officeDocument/2006/relationships/hyperlink" Target="https://www150.statcan.gc.ca/t1/tbl1/en/tv.action?pid=3210003201" TargetMode="External"/><Relationship Id="rId5" Type="http://schemas.openxmlformats.org/officeDocument/2006/relationships/hyperlink" Target="https://www150.statcan.gc.ca/t1/tbl1/en/tv.action?pid=3210002901" TargetMode="External"/><Relationship Id="rId15" Type="http://schemas.openxmlformats.org/officeDocument/2006/relationships/hyperlink" Target="https://www.ic.gc.ca/eic/site/tdo-dcd.nsf/eng/home" TargetMode="External"/><Relationship Id="rId10" Type="http://schemas.openxmlformats.org/officeDocument/2006/relationships/hyperlink" Target="https://www150.statcan.gc.ca/t1/tbl1/en/tv.action?pid=3210002101" TargetMode="External"/><Relationship Id="rId19" Type="http://schemas.openxmlformats.org/officeDocument/2006/relationships/hyperlink" Target="https://agriculture.canada.ca/sites/default/files/documents/2024-08/OrnamentalReport_2023_EN.pdf" TargetMode="External"/><Relationship Id="rId4" Type="http://schemas.openxmlformats.org/officeDocument/2006/relationships/hyperlink" Target="https://www150.statcan.gc.ca/t1/tbl1/en/cv.action?pid=3210001901" TargetMode="External"/><Relationship Id="rId9" Type="http://schemas.openxmlformats.org/officeDocument/2006/relationships/hyperlink" Target="https://www150.statcan.gc.ca/t1/tbl1/en/tv.action?pid=3210002101" TargetMode="External"/><Relationship Id="rId14" Type="http://schemas.openxmlformats.org/officeDocument/2006/relationships/hyperlink" Target="https://www150.statcan.gc.ca/t1/tbl1/en/cv.action?pid=3210002901" TargetMode="External"/><Relationship Id="rId2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CF44D-30C4-4E58-8C32-63FBB3558802}">
  <sheetPr>
    <tabColor theme="0"/>
  </sheetPr>
  <dimension ref="B1:R96"/>
  <sheetViews>
    <sheetView workbookViewId="0">
      <selection sqref="A1:XFD1048576"/>
    </sheetView>
  </sheetViews>
  <sheetFormatPr defaultColWidth="9.109375" defaultRowHeight="14.4"/>
  <cols>
    <col min="1" max="1" width="2.88671875" customWidth="1"/>
    <col min="2" max="2" width="15.33203125" customWidth="1"/>
    <col min="3" max="5" width="7.77734375" customWidth="1"/>
    <col min="6" max="6" width="7.77734375" style="108" customWidth="1"/>
    <col min="7" max="7" width="7.77734375" style="1464" customWidth="1"/>
    <col min="8" max="8" width="7.77734375" style="113" customWidth="1"/>
    <col min="9" max="13" width="7.77734375" style="108" customWidth="1"/>
    <col min="14" max="14" width="12" bestFit="1" customWidth="1"/>
    <col min="15" max="15" width="11" bestFit="1" customWidth="1"/>
  </cols>
  <sheetData>
    <row r="1" spans="2:15" ht="15" customHeight="1">
      <c r="B1" s="83" t="s">
        <v>2427</v>
      </c>
    </row>
    <row r="2" spans="2:15" ht="15" customHeight="1">
      <c r="B2" s="83"/>
    </row>
    <row r="3" spans="2:15" ht="15" customHeight="1">
      <c r="B3" s="83" t="s">
        <v>2428</v>
      </c>
    </row>
    <row r="4" spans="2:15" ht="15" customHeight="1">
      <c r="B4" s="1" t="s">
        <v>2429</v>
      </c>
    </row>
    <row r="5" spans="2:15" ht="21.75" customHeight="1">
      <c r="B5" s="1465"/>
      <c r="C5" s="1539" t="s">
        <v>0</v>
      </c>
      <c r="D5" s="1539"/>
      <c r="E5" s="1539"/>
      <c r="F5" s="1539"/>
      <c r="G5" s="1466"/>
      <c r="H5" s="1466"/>
      <c r="I5" s="1540" t="s">
        <v>1</v>
      </c>
      <c r="J5" s="1540"/>
      <c r="K5" s="1540"/>
      <c r="L5" s="1467" t="s">
        <v>2</v>
      </c>
      <c r="M5" s="655"/>
    </row>
    <row r="6" spans="2:15" ht="21" customHeight="1">
      <c r="B6" s="194"/>
      <c r="C6" s="1541" t="s">
        <v>2430</v>
      </c>
      <c r="D6" s="1541"/>
      <c r="E6" s="1541"/>
      <c r="F6" s="1541"/>
      <c r="G6" s="1466"/>
      <c r="H6" s="1542"/>
      <c r="I6" s="1542"/>
      <c r="J6" s="1542"/>
      <c r="K6" s="228"/>
      <c r="L6" s="228"/>
      <c r="M6" s="228"/>
    </row>
    <row r="7" spans="2:15" ht="15" customHeight="1">
      <c r="B7" s="194"/>
      <c r="C7" s="1463" t="s">
        <v>441</v>
      </c>
      <c r="D7" s="1541" t="s">
        <v>2431</v>
      </c>
      <c r="E7" s="1541"/>
      <c r="F7" s="1463"/>
      <c r="G7" s="1466"/>
      <c r="H7" s="1463"/>
      <c r="I7" s="1468"/>
      <c r="J7" s="1468"/>
      <c r="K7" s="228"/>
      <c r="L7" s="228"/>
      <c r="M7" s="228"/>
    </row>
    <row r="8" spans="2:15" ht="15" customHeight="1">
      <c r="B8" s="6"/>
      <c r="C8" s="156" t="s">
        <v>442</v>
      </c>
      <c r="D8" s="1538" t="s">
        <v>2432</v>
      </c>
      <c r="E8" s="1538"/>
      <c r="F8" s="228" t="s">
        <v>3</v>
      </c>
      <c r="G8" s="1469" t="s">
        <v>2433</v>
      </c>
      <c r="H8" s="156" t="s">
        <v>2434</v>
      </c>
      <c r="I8" s="156" t="s">
        <v>4</v>
      </c>
      <c r="J8" s="1469" t="s">
        <v>2433</v>
      </c>
      <c r="K8" s="1469" t="s">
        <v>2434</v>
      </c>
      <c r="L8" s="1469" t="s">
        <v>2435</v>
      </c>
      <c r="M8" s="1469" t="s">
        <v>2433</v>
      </c>
    </row>
    <row r="9" spans="2:15" ht="15" customHeight="1" thickBot="1">
      <c r="B9" s="988" t="s">
        <v>5</v>
      </c>
      <c r="C9" s="1227">
        <v>165</v>
      </c>
      <c r="D9" s="1544">
        <v>249</v>
      </c>
      <c r="E9" s="1544"/>
      <c r="F9" s="1470">
        <v>414</v>
      </c>
      <c r="G9" s="1471">
        <v>24</v>
      </c>
      <c r="H9" s="1471">
        <v>29</v>
      </c>
      <c r="I9" s="1227">
        <v>242</v>
      </c>
      <c r="J9" s="1471">
        <v>23</v>
      </c>
      <c r="K9" s="1471">
        <v>1</v>
      </c>
      <c r="L9" s="1227">
        <v>1327</v>
      </c>
      <c r="M9" s="1471">
        <v>20</v>
      </c>
    </row>
    <row r="10" spans="2:15" ht="15" customHeight="1" thickBot="1">
      <c r="B10" s="988" t="s">
        <v>6</v>
      </c>
      <c r="C10" s="1227">
        <v>366</v>
      </c>
      <c r="D10" s="1543">
        <v>507</v>
      </c>
      <c r="E10" s="1543"/>
      <c r="F10" s="1472">
        <f>D10+C10</f>
        <v>873</v>
      </c>
      <c r="G10" s="1471">
        <v>23</v>
      </c>
      <c r="H10" s="1471">
        <v>27</v>
      </c>
      <c r="I10" s="1227">
        <v>263</v>
      </c>
      <c r="J10" s="1471">
        <v>23</v>
      </c>
      <c r="K10" s="1471">
        <v>1</v>
      </c>
      <c r="L10" s="1227">
        <v>661</v>
      </c>
      <c r="M10" s="1471">
        <v>24</v>
      </c>
    </row>
    <row r="11" spans="2:15" ht="15" customHeight="1" thickBot="1">
      <c r="B11" s="988" t="s">
        <v>7</v>
      </c>
      <c r="C11" s="1227">
        <v>185</v>
      </c>
      <c r="D11" s="1543">
        <v>113</v>
      </c>
      <c r="E11" s="1543"/>
      <c r="F11" s="1472">
        <v>298</v>
      </c>
      <c r="G11" s="1471">
        <v>24</v>
      </c>
      <c r="H11" s="1471">
        <v>30</v>
      </c>
      <c r="I11" s="1227">
        <v>366</v>
      </c>
      <c r="J11" s="1471">
        <v>23</v>
      </c>
      <c r="K11" s="1471">
        <v>1</v>
      </c>
      <c r="L11" s="1227">
        <v>320</v>
      </c>
      <c r="M11" s="1471">
        <v>24</v>
      </c>
      <c r="O11" s="1473"/>
    </row>
    <row r="12" spans="2:15" ht="15" customHeight="1" thickBot="1">
      <c r="B12" s="988" t="s">
        <v>8</v>
      </c>
      <c r="C12" s="1227">
        <v>107</v>
      </c>
      <c r="D12" s="1543">
        <v>56</v>
      </c>
      <c r="E12" s="1543"/>
      <c r="F12" s="1472">
        <f>D12+C12</f>
        <v>163</v>
      </c>
      <c r="G12" s="1471">
        <v>24</v>
      </c>
      <c r="H12" s="1471">
        <v>31</v>
      </c>
      <c r="I12" s="1227">
        <v>102</v>
      </c>
      <c r="J12" s="1471">
        <v>23</v>
      </c>
      <c r="K12" s="1471">
        <v>1</v>
      </c>
      <c r="L12" s="1227">
        <v>448</v>
      </c>
      <c r="M12" s="1471">
        <v>24</v>
      </c>
      <c r="O12" s="1473"/>
    </row>
    <row r="13" spans="2:15" ht="15" customHeight="1" thickBot="1">
      <c r="B13" s="988" t="s">
        <v>2436</v>
      </c>
      <c r="C13" s="1227"/>
      <c r="D13" s="1543"/>
      <c r="E13" s="1543"/>
      <c r="F13" s="1472">
        <v>5520</v>
      </c>
      <c r="G13" s="1471">
        <v>24</v>
      </c>
      <c r="H13" s="1471">
        <v>3</v>
      </c>
      <c r="I13" s="1227">
        <v>620</v>
      </c>
      <c r="J13" s="1471">
        <v>23</v>
      </c>
      <c r="K13" s="1471">
        <v>1</v>
      </c>
      <c r="L13" s="1227">
        <v>2741</v>
      </c>
      <c r="M13" s="1471">
        <v>23</v>
      </c>
    </row>
    <row r="14" spans="2:15" ht="15" customHeight="1" thickBot="1">
      <c r="B14" s="988" t="s">
        <v>10</v>
      </c>
      <c r="C14" s="1227">
        <v>1653</v>
      </c>
      <c r="D14" s="1543">
        <v>4610</v>
      </c>
      <c r="E14" s="1543"/>
      <c r="F14" s="1472">
        <f>D14+C14</f>
        <v>6263</v>
      </c>
      <c r="G14" s="1471">
        <v>21</v>
      </c>
      <c r="H14" s="1471">
        <v>2</v>
      </c>
      <c r="I14" s="1227">
        <v>919</v>
      </c>
      <c r="J14" s="1471">
        <v>23</v>
      </c>
      <c r="K14" s="1471">
        <v>1</v>
      </c>
      <c r="L14" s="1227">
        <v>3123</v>
      </c>
      <c r="M14" s="1471">
        <v>21</v>
      </c>
      <c r="N14" s="1473"/>
      <c r="O14" s="139"/>
    </row>
    <row r="15" spans="2:15" ht="15" customHeight="1" thickBot="1">
      <c r="B15" s="988" t="s">
        <v>11</v>
      </c>
      <c r="C15" s="1227"/>
      <c r="D15" s="1543"/>
      <c r="E15" s="1543"/>
      <c r="F15" s="1472">
        <v>415</v>
      </c>
      <c r="G15" s="1471">
        <v>10</v>
      </c>
      <c r="H15" s="1471">
        <v>34</v>
      </c>
      <c r="I15" s="1227">
        <v>38</v>
      </c>
      <c r="J15" s="1471">
        <v>23</v>
      </c>
      <c r="K15" s="1471">
        <v>1</v>
      </c>
      <c r="L15" s="1227">
        <v>133</v>
      </c>
      <c r="M15" s="1471">
        <v>10</v>
      </c>
      <c r="N15" s="1473"/>
    </row>
    <row r="16" spans="2:15" ht="15" customHeight="1" thickBot="1">
      <c r="B16" s="988" t="s">
        <v>12</v>
      </c>
      <c r="C16" s="1227">
        <v>5443</v>
      </c>
      <c r="D16" s="1543">
        <v>7282</v>
      </c>
      <c r="E16" s="1543"/>
      <c r="F16" s="1472">
        <v>12724</v>
      </c>
      <c r="G16" s="1471">
        <v>10</v>
      </c>
      <c r="H16" s="1471">
        <v>5</v>
      </c>
      <c r="I16" s="1227">
        <v>1465</v>
      </c>
      <c r="J16" s="1471">
        <v>23</v>
      </c>
      <c r="K16" s="1471">
        <v>1</v>
      </c>
      <c r="L16" s="1227">
        <v>14093</v>
      </c>
      <c r="M16" s="1471">
        <v>10</v>
      </c>
    </row>
    <row r="17" spans="2:18" ht="15" customHeight="1" thickBot="1">
      <c r="B17" s="988" t="s">
        <v>13</v>
      </c>
      <c r="C17" s="1227">
        <v>4020</v>
      </c>
      <c r="D17" s="1543">
        <v>3490</v>
      </c>
      <c r="E17" s="1543"/>
      <c r="F17" s="1472">
        <f>D17+C17</f>
        <v>7510</v>
      </c>
      <c r="G17" s="1471">
        <v>24</v>
      </c>
      <c r="H17" s="1471">
        <v>33</v>
      </c>
      <c r="I17" s="1227">
        <v>2564</v>
      </c>
      <c r="J17" s="1471">
        <v>23</v>
      </c>
      <c r="K17" s="1471">
        <v>1</v>
      </c>
      <c r="L17" s="1227">
        <v>3030</v>
      </c>
      <c r="M17" s="1471">
        <v>24</v>
      </c>
    </row>
    <row r="18" spans="2:18" ht="15" customHeight="1" thickBot="1">
      <c r="B18" s="988" t="s">
        <v>14</v>
      </c>
      <c r="C18" s="1227">
        <v>81</v>
      </c>
      <c r="D18" s="1543"/>
      <c r="E18" s="1543"/>
      <c r="F18" s="1472">
        <v>81</v>
      </c>
      <c r="G18" s="1471">
        <v>20</v>
      </c>
      <c r="H18" s="1471">
        <v>32</v>
      </c>
      <c r="I18" s="1227">
        <v>24</v>
      </c>
      <c r="J18" s="1471">
        <v>23</v>
      </c>
      <c r="K18" s="1471">
        <v>1</v>
      </c>
      <c r="L18" s="1227">
        <v>317</v>
      </c>
      <c r="M18" s="1471">
        <v>18</v>
      </c>
    </row>
    <row r="19" spans="2:18" ht="15" customHeight="1" thickBot="1">
      <c r="B19" s="988" t="s">
        <v>15</v>
      </c>
      <c r="C19" s="1227">
        <v>1495</v>
      </c>
      <c r="D19" s="1543">
        <v>3768</v>
      </c>
      <c r="E19" s="1543"/>
      <c r="F19" s="1472">
        <v>5263</v>
      </c>
      <c r="G19" s="1471">
        <v>23</v>
      </c>
      <c r="H19" s="1471">
        <v>6</v>
      </c>
      <c r="I19" s="1227">
        <v>122</v>
      </c>
      <c r="J19" s="1471">
        <v>23</v>
      </c>
      <c r="K19" s="1471">
        <v>1</v>
      </c>
      <c r="L19" s="1227" t="s">
        <v>59</v>
      </c>
      <c r="M19" s="1471"/>
    </row>
    <row r="20" spans="2:18" ht="15" customHeight="1" thickBot="1">
      <c r="B20" s="988" t="s">
        <v>16</v>
      </c>
      <c r="C20" s="1227">
        <v>610</v>
      </c>
      <c r="D20" s="1543">
        <v>1090</v>
      </c>
      <c r="E20" s="1543"/>
      <c r="F20" s="1472">
        <v>1700</v>
      </c>
      <c r="G20" s="1471">
        <v>10</v>
      </c>
      <c r="H20" s="1471"/>
      <c r="I20" s="1227">
        <v>270</v>
      </c>
      <c r="J20" s="1471">
        <v>23</v>
      </c>
      <c r="K20" s="1471">
        <v>1</v>
      </c>
      <c r="L20" s="1227" t="s">
        <v>59</v>
      </c>
      <c r="M20" s="1471"/>
    </row>
    <row r="21" spans="2:18" ht="15" customHeight="1" thickBot="1">
      <c r="B21" s="988" t="s">
        <v>17</v>
      </c>
      <c r="C21" s="1227">
        <v>2397</v>
      </c>
      <c r="D21" s="1543">
        <v>3700</v>
      </c>
      <c r="E21" s="1543"/>
      <c r="F21" s="1472">
        <v>6097</v>
      </c>
      <c r="G21" s="1471">
        <v>22</v>
      </c>
      <c r="H21" s="1471">
        <v>35</v>
      </c>
      <c r="I21" s="1227">
        <v>1294</v>
      </c>
      <c r="J21" s="1471">
        <v>23</v>
      </c>
      <c r="K21" s="1471">
        <v>1</v>
      </c>
      <c r="L21" s="1227" t="s">
        <v>59</v>
      </c>
      <c r="M21" s="1471"/>
      <c r="P21" s="1474"/>
    </row>
    <row r="22" spans="2:18" ht="15" customHeight="1" thickBot="1">
      <c r="B22" s="988" t="s">
        <v>18</v>
      </c>
      <c r="C22" s="1227">
        <v>13</v>
      </c>
      <c r="D22" s="1543">
        <v>27</v>
      </c>
      <c r="E22" s="1543"/>
      <c r="F22" s="1472">
        <v>40</v>
      </c>
      <c r="G22" s="1471">
        <v>23</v>
      </c>
      <c r="H22" s="1471">
        <v>36</v>
      </c>
      <c r="I22" s="1227">
        <v>147</v>
      </c>
      <c r="J22" s="1471">
        <v>23</v>
      </c>
      <c r="K22" s="1471">
        <v>1</v>
      </c>
      <c r="L22" s="1227">
        <v>633</v>
      </c>
      <c r="M22" s="1471">
        <v>23</v>
      </c>
      <c r="P22" s="1474"/>
      <c r="R22" s="1474"/>
    </row>
    <row r="23" spans="2:18" ht="15" customHeight="1" thickBot="1">
      <c r="B23" s="988" t="s">
        <v>19</v>
      </c>
      <c r="C23" s="1227">
        <v>129</v>
      </c>
      <c r="D23" s="1543"/>
      <c r="E23" s="1543"/>
      <c r="F23" s="1472">
        <v>129</v>
      </c>
      <c r="G23" s="1471">
        <v>24</v>
      </c>
      <c r="H23" s="1471">
        <v>7</v>
      </c>
      <c r="I23" s="1227">
        <v>376</v>
      </c>
      <c r="J23" s="1471">
        <v>23</v>
      </c>
      <c r="K23" s="1471">
        <v>1</v>
      </c>
      <c r="L23" s="1227" t="s">
        <v>2437</v>
      </c>
      <c r="M23" s="1471">
        <v>23</v>
      </c>
    </row>
    <row r="24" spans="2:18" ht="15" customHeight="1" thickBot="1">
      <c r="B24" s="988" t="s">
        <v>20</v>
      </c>
      <c r="C24" s="1227">
        <v>473</v>
      </c>
      <c r="D24" s="1543">
        <v>7100</v>
      </c>
      <c r="E24" s="1543"/>
      <c r="F24" s="1472">
        <v>7573</v>
      </c>
      <c r="G24" s="1471">
        <v>21</v>
      </c>
      <c r="H24" s="1471">
        <v>8</v>
      </c>
      <c r="I24" s="1227">
        <v>509</v>
      </c>
      <c r="J24" s="1471">
        <v>23</v>
      </c>
      <c r="K24" s="1471">
        <v>8</v>
      </c>
      <c r="L24" s="1227"/>
      <c r="M24" s="1471"/>
      <c r="P24" s="1474"/>
      <c r="Q24" s="1474"/>
    </row>
    <row r="25" spans="2:18" ht="15" customHeight="1" thickBot="1">
      <c r="B25" s="1475" t="s">
        <v>2438</v>
      </c>
      <c r="C25" s="1476"/>
      <c r="D25" s="1548"/>
      <c r="E25" s="1548"/>
      <c r="F25" s="1478">
        <v>55100</v>
      </c>
      <c r="G25" s="1479"/>
      <c r="H25" s="1479" t="s">
        <v>2439</v>
      </c>
      <c r="I25" s="1480">
        <v>9300</v>
      </c>
      <c r="J25" s="1481"/>
      <c r="K25" s="1479" t="s">
        <v>2439</v>
      </c>
      <c r="L25" s="1480">
        <v>26800</v>
      </c>
      <c r="M25" s="1479" t="s">
        <v>2439</v>
      </c>
      <c r="N25" s="139"/>
    </row>
    <row r="26" spans="2:18" ht="15" customHeight="1" thickBot="1">
      <c r="B26" s="988" t="s">
        <v>21</v>
      </c>
      <c r="C26" s="1227">
        <v>1748</v>
      </c>
      <c r="D26" s="1543">
        <v>1000</v>
      </c>
      <c r="E26" s="1543"/>
      <c r="F26" s="1472">
        <v>2748</v>
      </c>
      <c r="G26" s="1471">
        <v>4</v>
      </c>
      <c r="H26" s="1471">
        <v>9</v>
      </c>
      <c r="I26" s="1227" t="s">
        <v>59</v>
      </c>
      <c r="J26" s="1471"/>
      <c r="K26" s="1471"/>
      <c r="L26" s="1227" t="s">
        <v>59</v>
      </c>
      <c r="M26" s="1471"/>
    </row>
    <row r="27" spans="2:18" ht="15" customHeight="1" thickBot="1">
      <c r="B27" s="988" t="s">
        <v>22</v>
      </c>
      <c r="C27" s="1227">
        <v>1678</v>
      </c>
      <c r="D27" s="1230"/>
      <c r="E27" s="1230">
        <v>4103</v>
      </c>
      <c r="F27" s="1472">
        <v>5781</v>
      </c>
      <c r="G27" s="1471">
        <v>23</v>
      </c>
      <c r="H27" s="1471">
        <v>10</v>
      </c>
      <c r="I27" s="1482" t="s">
        <v>59</v>
      </c>
      <c r="J27" s="1471"/>
      <c r="K27" s="1471"/>
      <c r="L27" s="1227" t="s">
        <v>59</v>
      </c>
      <c r="M27" s="1471"/>
    </row>
    <row r="28" spans="2:18" ht="15" customHeight="1" thickBot="1">
      <c r="B28" s="1475" t="s">
        <v>2440</v>
      </c>
      <c r="C28" s="1480"/>
      <c r="D28" s="1545"/>
      <c r="E28" s="1545"/>
      <c r="F28" s="1478">
        <v>8500</v>
      </c>
      <c r="G28" s="1479"/>
      <c r="H28" s="1479" t="s">
        <v>2439</v>
      </c>
      <c r="I28" s="1480"/>
      <c r="J28" s="1481"/>
      <c r="K28" s="1479"/>
      <c r="L28" s="1480"/>
      <c r="M28" s="1479"/>
      <c r="N28" s="139"/>
    </row>
    <row r="29" spans="2:18" ht="15" customHeight="1" thickBot="1">
      <c r="B29" s="988" t="s">
        <v>23</v>
      </c>
      <c r="C29" s="1227"/>
      <c r="D29" s="1230"/>
      <c r="E29" s="1230"/>
      <c r="F29" s="1472">
        <v>1695</v>
      </c>
      <c r="G29" s="1471">
        <v>17</v>
      </c>
      <c r="H29" s="1471">
        <v>25</v>
      </c>
      <c r="I29" s="1227">
        <v>302</v>
      </c>
      <c r="J29" s="1471">
        <v>24</v>
      </c>
      <c r="K29" s="1471">
        <v>4</v>
      </c>
      <c r="L29" s="1227" t="s">
        <v>59</v>
      </c>
      <c r="M29" s="1471"/>
    </row>
    <row r="30" spans="2:18" ht="15" customHeight="1" thickBot="1">
      <c r="B30" s="988" t="s">
        <v>24</v>
      </c>
      <c r="C30" s="1227"/>
      <c r="D30" s="1230"/>
      <c r="E30" s="1230"/>
      <c r="F30" s="1472">
        <v>4039</v>
      </c>
      <c r="G30" s="1471">
        <v>12</v>
      </c>
      <c r="H30" s="1471">
        <v>37</v>
      </c>
      <c r="I30" s="1227">
        <v>735</v>
      </c>
      <c r="J30" s="1471">
        <v>24</v>
      </c>
      <c r="K30" s="1471">
        <v>4</v>
      </c>
      <c r="L30" s="1227" t="s">
        <v>59</v>
      </c>
      <c r="M30" s="1471"/>
      <c r="O30" s="139"/>
    </row>
    <row r="31" spans="2:18" ht="15" customHeight="1" thickBot="1">
      <c r="B31" s="988" t="s">
        <v>25</v>
      </c>
      <c r="C31" s="1227"/>
      <c r="D31" s="1230"/>
      <c r="E31" s="1230"/>
      <c r="F31" s="1472">
        <v>11461</v>
      </c>
      <c r="G31" s="1471">
        <v>7</v>
      </c>
      <c r="H31" s="1471">
        <v>12</v>
      </c>
      <c r="I31" s="1227">
        <v>99</v>
      </c>
      <c r="J31" s="1471">
        <v>24</v>
      </c>
      <c r="K31" s="1471">
        <v>4</v>
      </c>
      <c r="L31" s="1227" t="s">
        <v>59</v>
      </c>
      <c r="M31" s="1471"/>
    </row>
    <row r="32" spans="2:18" ht="15" customHeight="1" thickBot="1">
      <c r="B32" s="1483" t="s">
        <v>2441</v>
      </c>
      <c r="C32" s="1478"/>
      <c r="D32" s="1545"/>
      <c r="E32" s="1545"/>
      <c r="F32" s="1478">
        <v>17200</v>
      </c>
      <c r="G32" s="1484"/>
      <c r="H32" s="1484" t="s">
        <v>2439</v>
      </c>
      <c r="I32" s="1478">
        <v>1100</v>
      </c>
      <c r="J32" s="1484"/>
      <c r="K32" s="1484" t="s">
        <v>2439</v>
      </c>
      <c r="L32" s="1478"/>
      <c r="M32" s="1484"/>
    </row>
    <row r="33" spans="2:15" ht="15" thickBot="1">
      <c r="B33" s="988" t="s">
        <v>26</v>
      </c>
      <c r="C33" s="1227">
        <v>105</v>
      </c>
      <c r="D33" s="1227"/>
      <c r="E33" s="1227">
        <v>850</v>
      </c>
      <c r="F33" s="1470">
        <v>955</v>
      </c>
      <c r="G33" s="1471" t="s">
        <v>2442</v>
      </c>
      <c r="H33" s="1471">
        <v>38</v>
      </c>
      <c r="I33" s="1227"/>
      <c r="J33" s="1471"/>
      <c r="K33" s="1471"/>
      <c r="L33" s="1227">
        <v>547</v>
      </c>
      <c r="M33" s="1471" t="s">
        <v>2443</v>
      </c>
    </row>
    <row r="34" spans="2:15" ht="15" customHeight="1" thickBot="1">
      <c r="B34" s="988" t="s">
        <v>27</v>
      </c>
      <c r="C34" s="1227"/>
      <c r="D34" s="1227"/>
      <c r="E34" s="1227"/>
      <c r="F34" s="1470">
        <v>169537</v>
      </c>
      <c r="G34" s="1485" t="s">
        <v>2444</v>
      </c>
      <c r="H34" s="1471">
        <v>13</v>
      </c>
      <c r="I34" s="1227">
        <v>11666</v>
      </c>
      <c r="J34" s="1471" t="s">
        <v>2445</v>
      </c>
      <c r="K34" s="1471">
        <v>13</v>
      </c>
      <c r="L34" s="1227">
        <v>74925</v>
      </c>
      <c r="M34" s="1471">
        <v>20</v>
      </c>
    </row>
    <row r="35" spans="2:15" ht="15" customHeight="1" thickBot="1">
      <c r="B35" s="988" t="s">
        <v>28</v>
      </c>
      <c r="C35" s="1227"/>
      <c r="D35" s="1230"/>
      <c r="E35" s="1230"/>
      <c r="F35" s="1470">
        <v>4886</v>
      </c>
      <c r="G35" s="1471">
        <v>20</v>
      </c>
      <c r="H35" s="1471"/>
      <c r="I35" s="1227"/>
      <c r="J35" s="1471"/>
      <c r="K35" s="1471"/>
      <c r="L35" s="1227"/>
      <c r="M35" s="1471"/>
    </row>
    <row r="36" spans="2:15" ht="15" customHeight="1" thickBot="1">
      <c r="B36" s="988" t="s">
        <v>29</v>
      </c>
      <c r="C36" s="1227"/>
      <c r="D36" s="1230"/>
      <c r="E36" s="1230"/>
      <c r="F36" s="1470">
        <v>285000</v>
      </c>
      <c r="G36" s="1471" t="s">
        <v>2446</v>
      </c>
      <c r="H36" s="1471">
        <v>14</v>
      </c>
      <c r="I36" s="1227"/>
      <c r="J36" s="1471"/>
      <c r="K36" s="1471"/>
      <c r="L36" s="1227"/>
      <c r="M36" s="1471"/>
      <c r="O36" s="139"/>
    </row>
    <row r="37" spans="2:15" ht="15" customHeight="1" thickBot="1">
      <c r="B37" s="988" t="s">
        <v>2447</v>
      </c>
      <c r="C37" s="1227">
        <v>3534</v>
      </c>
      <c r="D37" s="1230"/>
      <c r="E37" s="1230">
        <v>2393</v>
      </c>
      <c r="F37" s="1470">
        <v>5927</v>
      </c>
      <c r="G37" s="1471">
        <v>21</v>
      </c>
      <c r="H37" s="1471">
        <v>26</v>
      </c>
      <c r="I37" s="1227"/>
      <c r="J37" s="1471"/>
      <c r="K37" s="1471"/>
      <c r="L37" s="1227">
        <v>18743</v>
      </c>
      <c r="M37" s="1471">
        <v>21</v>
      </c>
    </row>
    <row r="38" spans="2:15" ht="15" customHeight="1" thickBot="1">
      <c r="B38" s="988" t="s">
        <v>30</v>
      </c>
      <c r="C38" s="1227"/>
      <c r="D38" s="1230"/>
      <c r="E38" s="1230"/>
      <c r="F38" s="1470">
        <v>16239</v>
      </c>
      <c r="G38" s="1471">
        <v>22</v>
      </c>
      <c r="H38" s="1471">
        <v>15</v>
      </c>
      <c r="I38" s="1227"/>
      <c r="J38" s="1471"/>
      <c r="K38" s="1471"/>
      <c r="L38" s="1227"/>
      <c r="M38" s="1471"/>
    </row>
    <row r="39" spans="2:15" ht="15" customHeight="1" thickBot="1">
      <c r="B39" s="988" t="s">
        <v>327</v>
      </c>
      <c r="C39" s="1227"/>
      <c r="D39" s="1230"/>
      <c r="E39" s="1230"/>
      <c r="F39" s="1470">
        <v>2672</v>
      </c>
      <c r="G39" s="1471">
        <v>24</v>
      </c>
      <c r="H39" s="1471">
        <v>16</v>
      </c>
      <c r="I39" s="1227"/>
      <c r="J39" s="1471"/>
      <c r="K39" s="1471"/>
      <c r="L39" s="1227"/>
      <c r="M39" s="1471"/>
    </row>
    <row r="40" spans="2:15" ht="15" customHeight="1" thickBot="1">
      <c r="B40" s="988" t="s">
        <v>485</v>
      </c>
      <c r="C40" s="1227"/>
      <c r="D40" s="1230"/>
      <c r="E40" s="1230"/>
      <c r="F40" s="1470">
        <v>2598</v>
      </c>
      <c r="G40" s="1471">
        <v>23</v>
      </c>
      <c r="H40" s="1471">
        <v>28</v>
      </c>
      <c r="I40" s="1227"/>
      <c r="J40" s="1471"/>
      <c r="K40" s="1471"/>
      <c r="L40" s="1227"/>
      <c r="M40" s="1471"/>
    </row>
    <row r="41" spans="2:15" ht="15" customHeight="1" thickBot="1">
      <c r="B41" s="988" t="s">
        <v>31</v>
      </c>
      <c r="C41" s="1227"/>
      <c r="D41" s="1230"/>
      <c r="E41" s="1230"/>
      <c r="F41" s="1470">
        <v>12324</v>
      </c>
      <c r="G41" s="1471">
        <v>13</v>
      </c>
      <c r="H41" s="1471">
        <v>17</v>
      </c>
      <c r="I41" s="1227"/>
      <c r="J41" s="1471"/>
      <c r="K41" s="1471"/>
      <c r="L41" s="1227"/>
      <c r="M41" s="1471"/>
      <c r="N41" s="72"/>
      <c r="O41" s="224"/>
    </row>
    <row r="42" spans="2:15" ht="15" customHeight="1" thickBot="1">
      <c r="B42" s="988" t="s">
        <v>2448</v>
      </c>
      <c r="C42" s="1227"/>
      <c r="D42" s="1230"/>
      <c r="E42" s="1230"/>
      <c r="F42" s="1470">
        <v>4500</v>
      </c>
      <c r="G42" s="1471">
        <v>8</v>
      </c>
      <c r="H42" s="1471">
        <v>18</v>
      </c>
      <c r="I42" s="1227"/>
      <c r="J42" s="1471"/>
      <c r="K42" s="1471"/>
      <c r="L42" s="1227"/>
      <c r="M42" s="1471"/>
      <c r="N42" s="72"/>
      <c r="O42" s="72"/>
    </row>
    <row r="43" spans="2:15" ht="15" customHeight="1" thickBot="1">
      <c r="B43" s="1475" t="s">
        <v>2449</v>
      </c>
      <c r="C43" s="1476"/>
      <c r="D43" s="1477"/>
      <c r="E43" s="1477"/>
      <c r="F43" s="1480">
        <v>472000</v>
      </c>
      <c r="G43" s="1479"/>
      <c r="H43" s="1479" t="s">
        <v>2439</v>
      </c>
      <c r="I43" s="1480">
        <v>11700</v>
      </c>
      <c r="J43" s="1481"/>
      <c r="K43" s="1479" t="s">
        <v>2439</v>
      </c>
      <c r="L43" s="1480">
        <v>94200</v>
      </c>
      <c r="M43" s="1479" t="s">
        <v>2439</v>
      </c>
      <c r="N43" s="1306"/>
      <c r="O43" s="1306"/>
    </row>
    <row r="44" spans="2:15" ht="15" customHeight="1" thickBot="1">
      <c r="B44" s="988" t="s">
        <v>32</v>
      </c>
      <c r="C44" s="1227">
        <v>755</v>
      </c>
      <c r="D44" s="1230"/>
      <c r="E44" s="1230">
        <v>460</v>
      </c>
      <c r="F44" s="1470">
        <f>E44+C44</f>
        <v>1215</v>
      </c>
      <c r="G44" s="1471">
        <v>24</v>
      </c>
      <c r="H44" s="1471"/>
      <c r="I44" s="1227">
        <v>1581</v>
      </c>
      <c r="J44" s="1471">
        <v>23</v>
      </c>
      <c r="K44" s="1471">
        <v>20</v>
      </c>
      <c r="L44" s="1227">
        <v>3462</v>
      </c>
      <c r="M44" s="1471">
        <v>23</v>
      </c>
      <c r="N44" s="1306"/>
      <c r="O44" s="139"/>
    </row>
    <row r="45" spans="2:15" ht="15" customHeight="1" thickBot="1">
      <c r="B45" s="988" t="s">
        <v>33</v>
      </c>
      <c r="C45" s="1227">
        <v>7910</v>
      </c>
      <c r="D45" s="1230"/>
      <c r="E45" s="1230">
        <v>18701</v>
      </c>
      <c r="F45" s="1470">
        <f>E45+C45</f>
        <v>26611</v>
      </c>
      <c r="G45" s="1471">
        <v>22</v>
      </c>
      <c r="H45" s="1471">
        <v>19</v>
      </c>
      <c r="I45" s="1227">
        <v>5916</v>
      </c>
      <c r="J45" s="1471">
        <v>22</v>
      </c>
      <c r="K45" s="1471">
        <v>19</v>
      </c>
      <c r="L45" s="1227" t="s">
        <v>2450</v>
      </c>
      <c r="M45" s="1471">
        <v>23</v>
      </c>
      <c r="N45" s="1306"/>
    </row>
    <row r="46" spans="2:15" ht="15" customHeight="1" thickBot="1">
      <c r="B46" s="1475" t="s">
        <v>2451</v>
      </c>
      <c r="C46" s="1470"/>
      <c r="D46" s="1472"/>
      <c r="E46" s="1472"/>
      <c r="F46" s="1480">
        <v>27800</v>
      </c>
      <c r="G46" s="1479"/>
      <c r="H46" s="1479" t="s">
        <v>2439</v>
      </c>
      <c r="I46" s="1480">
        <v>7500</v>
      </c>
      <c r="J46" s="1479"/>
      <c r="K46" s="1479" t="s">
        <v>2439</v>
      </c>
      <c r="L46" s="1480">
        <v>51662</v>
      </c>
      <c r="M46" s="1479" t="s">
        <v>2439</v>
      </c>
      <c r="N46" s="1306"/>
    </row>
    <row r="47" spans="2:15" ht="15" customHeight="1" thickBot="1">
      <c r="B47" s="988" t="s">
        <v>34</v>
      </c>
      <c r="C47" s="1227"/>
      <c r="D47" s="1230"/>
      <c r="E47" s="1230"/>
      <c r="F47" s="1470">
        <v>15600</v>
      </c>
      <c r="G47" s="1471">
        <v>22</v>
      </c>
      <c r="H47" s="1471">
        <v>21</v>
      </c>
      <c r="I47" s="1227" t="s">
        <v>59</v>
      </c>
      <c r="J47" s="1471"/>
      <c r="K47" s="1471"/>
      <c r="L47" s="1227">
        <v>8300</v>
      </c>
      <c r="M47" s="1471">
        <v>22</v>
      </c>
      <c r="N47" s="1306"/>
    </row>
    <row r="48" spans="2:15" ht="15" customHeight="1" thickBot="1">
      <c r="B48" s="988" t="s">
        <v>35</v>
      </c>
      <c r="C48" s="1227"/>
      <c r="D48" s="1230"/>
      <c r="E48" s="1230"/>
      <c r="F48" s="1470">
        <v>10500</v>
      </c>
      <c r="G48" s="1471">
        <v>24</v>
      </c>
      <c r="H48" s="1471"/>
      <c r="I48" s="1227">
        <v>2205</v>
      </c>
      <c r="J48" s="1471">
        <v>24</v>
      </c>
      <c r="K48" s="1471">
        <v>4</v>
      </c>
      <c r="L48" s="1227" t="s">
        <v>59</v>
      </c>
      <c r="M48" s="1471"/>
      <c r="N48" s="1306"/>
      <c r="O48" s="139"/>
    </row>
    <row r="49" spans="2:14" ht="15" customHeight="1" thickBot="1">
      <c r="B49" s="988" t="s">
        <v>36</v>
      </c>
      <c r="C49" s="1227"/>
      <c r="D49" s="1230"/>
      <c r="E49" s="1230"/>
      <c r="F49" s="1470">
        <v>3600</v>
      </c>
      <c r="G49" s="1471">
        <v>18</v>
      </c>
      <c r="H49" s="1471">
        <v>22</v>
      </c>
      <c r="I49" s="1227">
        <v>119</v>
      </c>
      <c r="J49" s="1471">
        <v>23</v>
      </c>
      <c r="K49" s="1471">
        <v>4</v>
      </c>
      <c r="L49" s="1227" t="s">
        <v>59</v>
      </c>
      <c r="M49" s="1471"/>
      <c r="N49" s="1306"/>
    </row>
    <row r="50" spans="2:14" ht="15" customHeight="1" thickBot="1">
      <c r="B50" s="988" t="s">
        <v>37</v>
      </c>
      <c r="C50" s="1227">
        <v>6495</v>
      </c>
      <c r="D50" s="1230"/>
      <c r="E50" s="1230">
        <v>701</v>
      </c>
      <c r="F50" s="1470">
        <v>7196</v>
      </c>
      <c r="G50" s="1471">
        <v>24</v>
      </c>
      <c r="H50" s="1471">
        <v>23</v>
      </c>
      <c r="I50" s="1227">
        <v>938</v>
      </c>
      <c r="J50" s="1471">
        <v>24</v>
      </c>
      <c r="K50" s="1471">
        <v>4</v>
      </c>
      <c r="L50" s="1227" t="s">
        <v>59</v>
      </c>
      <c r="M50" s="1471"/>
      <c r="N50" s="1306"/>
    </row>
    <row r="51" spans="2:14" ht="15" customHeight="1" thickBot="1">
      <c r="B51" s="988" t="s">
        <v>38</v>
      </c>
      <c r="C51" s="1227">
        <v>1714</v>
      </c>
      <c r="D51" s="1230"/>
      <c r="E51" s="1230">
        <v>7781</v>
      </c>
      <c r="F51" s="1470">
        <f>E51+C51</f>
        <v>9495</v>
      </c>
      <c r="G51" s="1471">
        <v>24</v>
      </c>
      <c r="H51" s="1471">
        <v>24</v>
      </c>
      <c r="I51" s="1227" t="s">
        <v>59</v>
      </c>
      <c r="J51" s="1471"/>
      <c r="K51" s="1471"/>
      <c r="L51" s="1227" t="s">
        <v>59</v>
      </c>
      <c r="M51" s="1471"/>
      <c r="N51" s="1306"/>
    </row>
    <row r="52" spans="2:14" ht="15" customHeight="1" thickBot="1">
      <c r="B52" s="1546" t="s">
        <v>2452</v>
      </c>
      <c r="C52" s="1546"/>
      <c r="D52" s="1486"/>
      <c r="E52" s="1486"/>
      <c r="F52" s="1487">
        <v>46400</v>
      </c>
      <c r="G52" s="1488"/>
      <c r="H52" s="1488" t="s">
        <v>2439</v>
      </c>
      <c r="I52" s="1489">
        <v>3300</v>
      </c>
      <c r="J52" s="1488"/>
      <c r="K52" s="1488" t="s">
        <v>2439</v>
      </c>
      <c r="L52" s="1489">
        <v>8300</v>
      </c>
      <c r="M52" s="1488" t="s">
        <v>2439</v>
      </c>
    </row>
    <row r="53" spans="2:14" ht="15" customHeight="1" thickTop="1">
      <c r="B53" s="1490" t="s">
        <v>2453</v>
      </c>
      <c r="C53" s="1547"/>
      <c r="D53" s="1547"/>
      <c r="E53" s="1124"/>
      <c r="F53" s="1491">
        <f>F46+F43+F32+F28+F25+F52</f>
        <v>627000</v>
      </c>
      <c r="G53" s="1492"/>
      <c r="H53" s="1492" t="s">
        <v>2439</v>
      </c>
      <c r="I53" s="1493">
        <f>I52+I46+I43+I32+I25</f>
        <v>32900</v>
      </c>
      <c r="J53" s="1494">
        <f t="shared" ref="J53" si="0">J52+J46+J43+J32+J25</f>
        <v>0</v>
      </c>
      <c r="K53" s="1492" t="s">
        <v>2439</v>
      </c>
      <c r="L53" s="1493">
        <f>SUM(L25+L43+L46+L52)</f>
        <v>180962</v>
      </c>
      <c r="M53" s="1492" t="s">
        <v>2439</v>
      </c>
    </row>
    <row r="54" spans="2:14" ht="12" customHeight="1">
      <c r="B54" s="92" t="s">
        <v>2454</v>
      </c>
    </row>
    <row r="55" spans="2:14" ht="12" customHeight="1">
      <c r="B55" s="92" t="s">
        <v>2455</v>
      </c>
    </row>
    <row r="56" spans="2:14" ht="12" customHeight="1">
      <c r="B56" s="92" t="s">
        <v>2456</v>
      </c>
    </row>
    <row r="57" spans="2:14" ht="12" customHeight="1">
      <c r="B57" s="92"/>
    </row>
    <row r="58" spans="2:14" ht="12" customHeight="1">
      <c r="B58" s="92" t="s">
        <v>2457</v>
      </c>
    </row>
    <row r="59" spans="2:14" ht="12" customHeight="1">
      <c r="B59" s="92" t="s">
        <v>2458</v>
      </c>
    </row>
    <row r="60" spans="2:14" ht="12" customHeight="1">
      <c r="B60" s="1495" t="s">
        <v>2459</v>
      </c>
    </row>
    <row r="61" spans="2:14" ht="12" customHeight="1">
      <c r="B61" s="92" t="s">
        <v>2460</v>
      </c>
    </row>
    <row r="62" spans="2:14" ht="12" customHeight="1">
      <c r="B62" s="92" t="s">
        <v>2461</v>
      </c>
    </row>
    <row r="63" spans="2:14" ht="12" customHeight="1">
      <c r="B63" s="92" t="s">
        <v>2462</v>
      </c>
    </row>
    <row r="64" spans="2:14" ht="12" customHeight="1">
      <c r="B64" s="1495" t="s">
        <v>2463</v>
      </c>
    </row>
    <row r="65" spans="2:2" ht="15" customHeight="1">
      <c r="B65" s="1495" t="s">
        <v>2464</v>
      </c>
    </row>
    <row r="66" spans="2:2" ht="12" customHeight="1">
      <c r="B66" s="1495" t="s">
        <v>2465</v>
      </c>
    </row>
    <row r="67" spans="2:2" ht="12" customHeight="1">
      <c r="B67" s="1495" t="s">
        <v>2466</v>
      </c>
    </row>
    <row r="68" spans="2:2" ht="12" customHeight="1">
      <c r="B68" s="1495" t="s">
        <v>2467</v>
      </c>
    </row>
    <row r="69" spans="2:2" ht="12" customHeight="1">
      <c r="B69" s="1495" t="s">
        <v>2468</v>
      </c>
    </row>
    <row r="70" spans="2:2" ht="12" customHeight="1">
      <c r="B70" s="1495" t="s">
        <v>2469</v>
      </c>
    </row>
    <row r="71" spans="2:2" ht="12" customHeight="1">
      <c r="B71" s="1495" t="s">
        <v>2470</v>
      </c>
    </row>
    <row r="72" spans="2:2" ht="12" customHeight="1">
      <c r="B72" s="1495" t="s">
        <v>2471</v>
      </c>
    </row>
    <row r="73" spans="2:2" ht="12" customHeight="1">
      <c r="B73" s="1495" t="s">
        <v>2472</v>
      </c>
    </row>
    <row r="74" spans="2:2" ht="12" customHeight="1">
      <c r="B74" s="1495" t="s">
        <v>2473</v>
      </c>
    </row>
    <row r="75" spans="2:2" ht="12" customHeight="1">
      <c r="B75" s="1495" t="s">
        <v>2474</v>
      </c>
    </row>
    <row r="76" spans="2:2" ht="12" customHeight="1">
      <c r="B76" s="1495" t="s">
        <v>2475</v>
      </c>
    </row>
    <row r="77" spans="2:2" ht="12" customHeight="1">
      <c r="B77" s="1495" t="s">
        <v>2476</v>
      </c>
    </row>
    <row r="78" spans="2:2" ht="12" customHeight="1">
      <c r="B78" s="1495" t="s">
        <v>2477</v>
      </c>
    </row>
    <row r="79" spans="2:2" ht="12" customHeight="1">
      <c r="B79" s="1495" t="s">
        <v>2478</v>
      </c>
    </row>
    <row r="80" spans="2:2" ht="12" customHeight="1">
      <c r="B80" s="1495" t="s">
        <v>2479</v>
      </c>
    </row>
    <row r="81" spans="2:2" ht="12" customHeight="1">
      <c r="B81" s="1495" t="s">
        <v>2480</v>
      </c>
    </row>
    <row r="82" spans="2:2" ht="12" customHeight="1">
      <c r="B82" s="1495" t="s">
        <v>2481</v>
      </c>
    </row>
    <row r="83" spans="2:2" ht="15" customHeight="1">
      <c r="B83" s="1495" t="s">
        <v>2482</v>
      </c>
    </row>
    <row r="84" spans="2:2" ht="10.5" customHeight="1">
      <c r="B84" s="1495" t="s">
        <v>2483</v>
      </c>
    </row>
    <row r="85" spans="2:2" ht="15" customHeight="1">
      <c r="B85" s="1495" t="s">
        <v>2484</v>
      </c>
    </row>
    <row r="86" spans="2:2" ht="15" customHeight="1">
      <c r="B86" s="1495" t="s">
        <v>2485</v>
      </c>
    </row>
    <row r="87" spans="2:2" ht="15" customHeight="1">
      <c r="B87" s="1495" t="s">
        <v>2486</v>
      </c>
    </row>
    <row r="88" spans="2:2" ht="15" customHeight="1">
      <c r="B88" s="1495" t="s">
        <v>2487</v>
      </c>
    </row>
    <row r="89" spans="2:2" ht="15" customHeight="1">
      <c r="B89" s="1495" t="s">
        <v>2488</v>
      </c>
    </row>
    <row r="90" spans="2:2" ht="15" customHeight="1">
      <c r="B90" s="1495" t="s">
        <v>2489</v>
      </c>
    </row>
    <row r="91" spans="2:2" ht="15" customHeight="1">
      <c r="B91" s="1495" t="s">
        <v>2490</v>
      </c>
    </row>
    <row r="92" spans="2:2" ht="15" customHeight="1">
      <c r="B92" s="1495" t="s">
        <v>2491</v>
      </c>
    </row>
    <row r="93" spans="2:2" ht="15" customHeight="1">
      <c r="B93" s="1495" t="s">
        <v>2492</v>
      </c>
    </row>
    <row r="94" spans="2:2" ht="15" customHeight="1">
      <c r="B94" s="1495" t="s">
        <v>2493</v>
      </c>
    </row>
    <row r="95" spans="2:2" ht="15" customHeight="1">
      <c r="B95" s="1495" t="s">
        <v>2494</v>
      </c>
    </row>
    <row r="96" spans="2:2" ht="15" customHeight="1">
      <c r="B96" s="1495" t="s">
        <v>2495</v>
      </c>
    </row>
  </sheetData>
  <mergeCells count="28">
    <mergeCell ref="D28:E28"/>
    <mergeCell ref="D32:E32"/>
    <mergeCell ref="B52:C52"/>
    <mergeCell ref="C53:D53"/>
    <mergeCell ref="D21:E21"/>
    <mergeCell ref="D22:E22"/>
    <mergeCell ref="D23:E23"/>
    <mergeCell ref="D24:E24"/>
    <mergeCell ref="D25:E25"/>
    <mergeCell ref="D26:E26"/>
    <mergeCell ref="D20:E20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8:E8"/>
    <mergeCell ref="C5:F5"/>
    <mergeCell ref="I5:K5"/>
    <mergeCell ref="C6:F6"/>
    <mergeCell ref="H6:J6"/>
    <mergeCell ref="D7:E7"/>
  </mergeCells>
  <hyperlinks>
    <hyperlink ref="B62" r:id="rId1" display="http://www.intracen.org/" xr:uid="{79D1C968-5CCF-469C-B919-74C4033055E4}"/>
  </hyperlink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B1:X62"/>
  <sheetViews>
    <sheetView showGridLines="0" zoomScaleNormal="100" workbookViewId="0">
      <selection activeCell="H24" sqref="H24"/>
    </sheetView>
  </sheetViews>
  <sheetFormatPr defaultColWidth="11.44140625" defaultRowHeight="14.4"/>
  <cols>
    <col min="1" max="1" width="9.88671875" customWidth="1"/>
    <col min="2" max="2" width="42" customWidth="1"/>
    <col min="3" max="3" width="13.44140625" customWidth="1"/>
    <col min="4" max="4" width="12.33203125" customWidth="1"/>
    <col min="5" max="5" width="9.88671875" customWidth="1"/>
    <col min="6" max="7" width="8.6640625" customWidth="1"/>
    <col min="8" max="12" width="9.6640625" customWidth="1"/>
    <col min="14" max="14" width="13.44140625" bestFit="1" customWidth="1"/>
    <col min="15" max="15" width="14.109375" customWidth="1"/>
    <col min="17" max="17" width="13.44140625" bestFit="1" customWidth="1"/>
    <col min="18" max="18" width="14.109375" customWidth="1"/>
    <col min="20" max="20" width="14.44140625" bestFit="1" customWidth="1"/>
    <col min="22" max="22" width="13.6640625" customWidth="1"/>
    <col min="24" max="24" width="17.109375" customWidth="1"/>
  </cols>
  <sheetData>
    <row r="1" spans="2:20" ht="15.6">
      <c r="B1" s="83"/>
      <c r="C1" s="83"/>
      <c r="D1" s="83"/>
      <c r="E1" s="83"/>
      <c r="F1" s="83"/>
      <c r="G1" s="83"/>
      <c r="H1" s="83"/>
      <c r="I1" s="83"/>
    </row>
    <row r="2" spans="2:20" ht="15.6"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</row>
    <row r="3" spans="2:20" ht="22.8">
      <c r="B3" s="83" t="s">
        <v>105</v>
      </c>
      <c r="C3" s="83"/>
      <c r="D3" s="83"/>
      <c r="F3" s="83"/>
      <c r="G3" s="83"/>
      <c r="H3" s="1136"/>
      <c r="I3" s="83"/>
      <c r="J3" s="83"/>
      <c r="K3" s="83"/>
      <c r="L3" s="83"/>
      <c r="M3" s="83"/>
      <c r="N3" s="83"/>
      <c r="O3" s="83"/>
    </row>
    <row r="4" spans="2:20" ht="15.6"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</row>
    <row r="5" spans="2:20" ht="15.6">
      <c r="B5" s="83" t="s">
        <v>106</v>
      </c>
      <c r="C5" s="231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</row>
    <row r="6" spans="2:20" ht="15" customHeight="1">
      <c r="B6" s="93" t="s">
        <v>107</v>
      </c>
      <c r="C6" s="93"/>
      <c r="D6" s="93"/>
      <c r="E6" s="232"/>
      <c r="F6" s="93"/>
      <c r="G6" s="93"/>
      <c r="H6" s="93"/>
      <c r="I6" s="93"/>
    </row>
    <row r="7" spans="2:20" ht="15" customHeight="1">
      <c r="B7" s="194"/>
      <c r="C7" s="115" t="s">
        <v>1970</v>
      </c>
      <c r="D7" s="115" t="s">
        <v>1959</v>
      </c>
      <c r="E7" s="115" t="s">
        <v>1990</v>
      </c>
      <c r="F7" s="115" t="s">
        <v>1991</v>
      </c>
      <c r="G7" s="115" t="s">
        <v>1992</v>
      </c>
      <c r="H7" s="115" t="s">
        <v>1993</v>
      </c>
      <c r="I7" s="115" t="s">
        <v>464</v>
      </c>
      <c r="J7" s="115" t="s">
        <v>1333</v>
      </c>
      <c r="K7" s="115" t="s">
        <v>1334</v>
      </c>
      <c r="L7" s="115" t="s">
        <v>1335</v>
      </c>
      <c r="M7" s="115" t="s">
        <v>1994</v>
      </c>
      <c r="O7" s="86" t="s">
        <v>325</v>
      </c>
      <c r="P7" s="7"/>
    </row>
    <row r="8" spans="2:20" ht="15" customHeight="1" thickBot="1">
      <c r="B8" s="71" t="s">
        <v>1997</v>
      </c>
      <c r="C8" s="1352">
        <v>1389858</v>
      </c>
      <c r="D8" s="1343">
        <v>1484194</v>
      </c>
      <c r="E8" s="1343">
        <v>1594111</v>
      </c>
      <c r="F8" s="45">
        <v>1631537</v>
      </c>
      <c r="G8" s="233">
        <v>1470516</v>
      </c>
      <c r="H8" s="234">
        <v>1461207</v>
      </c>
      <c r="I8" s="45">
        <v>1392293</v>
      </c>
      <c r="J8" s="45">
        <v>1330441</v>
      </c>
      <c r="K8" s="45">
        <v>1305464</v>
      </c>
      <c r="L8" s="45">
        <v>1270227</v>
      </c>
      <c r="M8" s="45">
        <v>1227126</v>
      </c>
      <c r="O8" s="93" t="s">
        <v>326</v>
      </c>
      <c r="P8" s="7"/>
    </row>
    <row r="9" spans="2:20" ht="15" customHeight="1" thickBot="1">
      <c r="B9" s="71" t="s">
        <v>506</v>
      </c>
      <c r="C9" s="1352">
        <v>63263</v>
      </c>
      <c r="D9" s="1343">
        <v>71300</v>
      </c>
      <c r="E9" s="1343" t="s">
        <v>59</v>
      </c>
      <c r="F9" s="45">
        <v>74334.3</v>
      </c>
      <c r="G9" s="233">
        <v>69257.600000000006</v>
      </c>
      <c r="H9" s="235">
        <v>64328</v>
      </c>
      <c r="I9" s="43">
        <v>69753</v>
      </c>
      <c r="J9" s="43">
        <v>64560</v>
      </c>
      <c r="K9" s="43">
        <v>62904</v>
      </c>
      <c r="L9" s="43">
        <v>64782</v>
      </c>
      <c r="M9" s="43">
        <v>65128</v>
      </c>
      <c r="O9" s="194"/>
      <c r="P9" s="21"/>
      <c r="Q9" s="1538" t="s">
        <v>370</v>
      </c>
      <c r="R9" s="1558"/>
      <c r="S9" s="99" t="s">
        <v>109</v>
      </c>
      <c r="T9" s="55" t="s">
        <v>110</v>
      </c>
    </row>
    <row r="10" spans="2:20" ht="15" customHeight="1" thickBot="1">
      <c r="B10" s="84" t="s">
        <v>507</v>
      </c>
      <c r="C10" s="1353" t="s">
        <v>59</v>
      </c>
      <c r="D10" s="1333" t="s">
        <v>59</v>
      </c>
      <c r="E10" s="1333" t="s">
        <v>59</v>
      </c>
      <c r="F10" s="46">
        <v>60665.8</v>
      </c>
      <c r="G10" s="236">
        <v>53753.3</v>
      </c>
      <c r="H10" s="237">
        <v>50702</v>
      </c>
      <c r="I10" s="44">
        <v>54966</v>
      </c>
      <c r="J10" s="44">
        <v>50501</v>
      </c>
      <c r="K10" s="44">
        <v>49715</v>
      </c>
      <c r="L10" s="44">
        <v>51868</v>
      </c>
      <c r="M10" s="44">
        <v>51349</v>
      </c>
      <c r="O10" s="194"/>
      <c r="P10" s="21" t="s">
        <v>3</v>
      </c>
      <c r="Q10" s="156" t="s">
        <v>3</v>
      </c>
      <c r="R10" s="156" t="s">
        <v>111</v>
      </c>
      <c r="S10" s="6" t="s">
        <v>112</v>
      </c>
      <c r="T10" s="55"/>
    </row>
    <row r="11" spans="2:20" ht="15" customHeight="1" thickBot="1">
      <c r="B11" s="36" t="s">
        <v>508</v>
      </c>
      <c r="C11" s="1353" t="s">
        <v>59</v>
      </c>
      <c r="D11" s="1333" t="s">
        <v>59</v>
      </c>
      <c r="E11" s="1333" t="s">
        <v>59</v>
      </c>
      <c r="F11" s="46">
        <v>19048.990000000002</v>
      </c>
      <c r="G11" s="236">
        <v>19068.650000000001</v>
      </c>
      <c r="H11" s="237">
        <v>18077</v>
      </c>
      <c r="I11" s="44">
        <v>17790</v>
      </c>
      <c r="J11" s="44">
        <v>15730</v>
      </c>
      <c r="K11" s="44">
        <v>13544</v>
      </c>
      <c r="L11" s="44">
        <v>14348</v>
      </c>
      <c r="M11" s="44">
        <v>14316</v>
      </c>
      <c r="O11" s="157" t="s">
        <v>1973</v>
      </c>
      <c r="P11" s="216">
        <v>133510.24</v>
      </c>
      <c r="Q11" s="46" t="s">
        <v>59</v>
      </c>
      <c r="R11" s="188" t="s">
        <v>59</v>
      </c>
      <c r="S11" s="46" t="s">
        <v>59</v>
      </c>
      <c r="T11" s="46" t="s">
        <v>59</v>
      </c>
    </row>
    <row r="12" spans="2:20" ht="15" customHeight="1" thickBot="1">
      <c r="B12" s="36" t="s">
        <v>509</v>
      </c>
      <c r="C12" s="1353" t="s">
        <v>59</v>
      </c>
      <c r="D12" s="1333" t="s">
        <v>59</v>
      </c>
      <c r="E12" s="1333" t="s">
        <v>59</v>
      </c>
      <c r="F12" s="46">
        <v>5959.93</v>
      </c>
      <c r="G12" s="236">
        <v>6638.67</v>
      </c>
      <c r="H12" s="237">
        <v>6711</v>
      </c>
      <c r="I12" s="44">
        <v>7322</v>
      </c>
      <c r="J12" s="44">
        <v>8212</v>
      </c>
      <c r="K12" s="44">
        <v>8824</v>
      </c>
      <c r="L12" s="44">
        <v>8977</v>
      </c>
      <c r="M12" s="44">
        <v>9989</v>
      </c>
      <c r="O12" s="157" t="s">
        <v>1680</v>
      </c>
      <c r="P12" s="216">
        <v>97813</v>
      </c>
      <c r="Q12" s="46" t="s">
        <v>59</v>
      </c>
      <c r="R12" s="188" t="s">
        <v>59</v>
      </c>
      <c r="S12" s="46" t="s">
        <v>59</v>
      </c>
      <c r="T12" s="46" t="s">
        <v>59</v>
      </c>
    </row>
    <row r="13" spans="2:20" ht="15" customHeight="1" thickBot="1">
      <c r="B13" s="36" t="s">
        <v>510</v>
      </c>
      <c r="C13" s="1353" t="s">
        <v>59</v>
      </c>
      <c r="D13" s="1333" t="s">
        <v>59</v>
      </c>
      <c r="E13" s="1333" t="s">
        <v>59</v>
      </c>
      <c r="F13" s="46">
        <v>7987.48</v>
      </c>
      <c r="G13" s="236">
        <v>8049.53</v>
      </c>
      <c r="H13" s="237">
        <v>7157</v>
      </c>
      <c r="I13" s="44">
        <v>7213</v>
      </c>
      <c r="J13" s="44">
        <v>7229</v>
      </c>
      <c r="K13" s="44">
        <v>7274</v>
      </c>
      <c r="L13" s="44">
        <v>7427</v>
      </c>
      <c r="M13" s="44">
        <v>8475</v>
      </c>
      <c r="O13" s="157" t="s">
        <v>1190</v>
      </c>
      <c r="P13" s="216">
        <v>102725.1</v>
      </c>
      <c r="Q13" s="46" t="s">
        <v>59</v>
      </c>
      <c r="R13" s="188" t="s">
        <v>59</v>
      </c>
      <c r="S13" s="46" t="s">
        <v>59</v>
      </c>
      <c r="T13" s="46" t="s">
        <v>59</v>
      </c>
    </row>
    <row r="14" spans="2:20" ht="15" customHeight="1" thickBot="1">
      <c r="B14" s="36" t="s">
        <v>511</v>
      </c>
      <c r="C14" s="1353" t="s">
        <v>59</v>
      </c>
      <c r="D14" s="1333" t="s">
        <v>59</v>
      </c>
      <c r="E14" s="1333" t="s">
        <v>59</v>
      </c>
      <c r="F14" s="46">
        <v>3569.65</v>
      </c>
      <c r="G14" s="236">
        <v>4105.13</v>
      </c>
      <c r="H14" s="237">
        <v>4055</v>
      </c>
      <c r="I14" s="44">
        <v>4757</v>
      </c>
      <c r="J14" s="44">
        <v>4838</v>
      </c>
      <c r="K14" s="44">
        <v>5127</v>
      </c>
      <c r="L14" s="44">
        <v>5749</v>
      </c>
      <c r="M14" s="44">
        <v>6204</v>
      </c>
      <c r="O14" s="157">
        <v>2020</v>
      </c>
      <c r="P14" s="216">
        <v>108486</v>
      </c>
      <c r="Q14" s="46">
        <v>31278.86</v>
      </c>
      <c r="R14" s="46">
        <v>10137.81</v>
      </c>
      <c r="S14" s="46">
        <v>44322.57</v>
      </c>
      <c r="T14" s="46">
        <v>32884.53</v>
      </c>
    </row>
    <row r="15" spans="2:20" ht="15" customHeight="1" thickBot="1">
      <c r="B15" s="36" t="s">
        <v>512</v>
      </c>
      <c r="C15" s="1353" t="s">
        <v>59</v>
      </c>
      <c r="D15" s="1333" t="s">
        <v>59</v>
      </c>
      <c r="E15" s="1333" t="s">
        <v>59</v>
      </c>
      <c r="F15" s="46">
        <v>5142</v>
      </c>
      <c r="G15" s="236">
        <v>4699</v>
      </c>
      <c r="H15" s="237">
        <v>5221</v>
      </c>
      <c r="I15" s="44">
        <v>3788</v>
      </c>
      <c r="J15" s="44">
        <v>4031</v>
      </c>
      <c r="K15" s="44">
        <v>3017</v>
      </c>
      <c r="L15" s="44">
        <v>3326</v>
      </c>
      <c r="M15" s="44">
        <v>5312</v>
      </c>
      <c r="O15" s="157">
        <v>2019</v>
      </c>
      <c r="P15" s="216">
        <v>125770.33</v>
      </c>
      <c r="Q15" s="46">
        <v>28374.29</v>
      </c>
      <c r="R15" s="188">
        <v>10977.91</v>
      </c>
      <c r="S15" s="46">
        <v>50776.14</v>
      </c>
      <c r="T15" s="46">
        <v>46619.9</v>
      </c>
    </row>
    <row r="16" spans="2:20" ht="15" customHeight="1" thickBot="1">
      <c r="B16" s="36" t="s">
        <v>513</v>
      </c>
      <c r="C16" s="1353" t="s">
        <v>59</v>
      </c>
      <c r="D16" s="1333" t="s">
        <v>59</v>
      </c>
      <c r="E16" s="1333" t="s">
        <v>59</v>
      </c>
      <c r="F16" s="46">
        <v>1367.97</v>
      </c>
      <c r="G16" s="236">
        <v>1184.54</v>
      </c>
      <c r="H16" s="237">
        <v>1210</v>
      </c>
      <c r="I16" s="59">
        <v>2959</v>
      </c>
      <c r="J16" s="59">
        <v>2896</v>
      </c>
      <c r="K16" s="59">
        <v>2038</v>
      </c>
      <c r="L16" s="59">
        <v>3308</v>
      </c>
      <c r="M16" s="59">
        <v>4896</v>
      </c>
      <c r="O16" s="157">
        <v>2018</v>
      </c>
      <c r="P16" s="216">
        <v>133606</v>
      </c>
      <c r="Q16" s="46">
        <v>29322</v>
      </c>
      <c r="R16" s="188">
        <v>10291</v>
      </c>
      <c r="S16" s="46">
        <v>55040</v>
      </c>
      <c r="T16" s="46">
        <v>50803</v>
      </c>
    </row>
    <row r="17" spans="2:24" ht="15" customHeight="1" thickBot="1">
      <c r="B17" s="84" t="s">
        <v>514</v>
      </c>
      <c r="C17" s="1353" t="s">
        <v>59</v>
      </c>
      <c r="D17" s="1333" t="s">
        <v>59</v>
      </c>
      <c r="E17" s="1333" t="s">
        <v>59</v>
      </c>
      <c r="F17" s="46">
        <v>8556.5</v>
      </c>
      <c r="G17" s="236">
        <v>6893.7</v>
      </c>
      <c r="H17" s="237">
        <v>7789</v>
      </c>
      <c r="I17" s="44">
        <v>8069</v>
      </c>
      <c r="J17" s="44">
        <v>7497</v>
      </c>
      <c r="K17" s="44">
        <v>7431</v>
      </c>
      <c r="L17" s="44">
        <v>7698</v>
      </c>
      <c r="M17" s="44">
        <v>8592</v>
      </c>
      <c r="O17" s="157">
        <v>2017</v>
      </c>
      <c r="P17" s="216">
        <v>120313</v>
      </c>
      <c r="Q17" s="46">
        <v>25754</v>
      </c>
      <c r="R17" s="189">
        <v>10656</v>
      </c>
      <c r="S17" s="46">
        <v>48663</v>
      </c>
      <c r="T17" s="46">
        <v>45900</v>
      </c>
    </row>
    <row r="18" spans="2:24" ht="15" customHeight="1" thickBot="1">
      <c r="B18" s="84" t="s">
        <v>515</v>
      </c>
      <c r="C18" s="1353" t="s">
        <v>59</v>
      </c>
      <c r="D18" s="1333" t="s">
        <v>59</v>
      </c>
      <c r="E18" s="1333" t="s">
        <v>59</v>
      </c>
      <c r="F18" s="46">
        <v>5112</v>
      </c>
      <c r="G18" s="236">
        <v>8610.7000000000007</v>
      </c>
      <c r="H18" s="237">
        <v>5837</v>
      </c>
      <c r="I18" s="44">
        <v>6718</v>
      </c>
      <c r="J18" s="44">
        <v>6563</v>
      </c>
      <c r="K18" s="44">
        <v>5758</v>
      </c>
      <c r="L18" s="44">
        <v>5216</v>
      </c>
      <c r="M18" s="44">
        <v>5187</v>
      </c>
      <c r="O18" s="158">
        <v>2016</v>
      </c>
      <c r="P18" s="226">
        <v>116173</v>
      </c>
      <c r="Q18" s="188">
        <v>24599</v>
      </c>
      <c r="R18" s="188">
        <v>10968</v>
      </c>
      <c r="S18" s="188">
        <v>47352</v>
      </c>
      <c r="T18" s="188">
        <v>44222</v>
      </c>
    </row>
    <row r="19" spans="2:24" ht="15" customHeight="1" thickBot="1">
      <c r="B19" s="49" t="s">
        <v>516</v>
      </c>
      <c r="C19" s="1354">
        <v>106274</v>
      </c>
      <c r="D19" s="1344">
        <v>105335</v>
      </c>
      <c r="E19" s="1344" t="s">
        <v>59</v>
      </c>
      <c r="F19" s="45">
        <v>114086.39999999999</v>
      </c>
      <c r="G19" s="233">
        <v>128395.5</v>
      </c>
      <c r="H19" s="235">
        <v>126095</v>
      </c>
      <c r="I19" s="43">
        <v>118805</v>
      </c>
      <c r="J19" s="43">
        <v>105837</v>
      </c>
      <c r="K19" s="43">
        <v>104748</v>
      </c>
      <c r="L19" s="43">
        <v>106615</v>
      </c>
      <c r="M19" s="43">
        <v>103953</v>
      </c>
      <c r="O19" s="158">
        <v>2015</v>
      </c>
      <c r="P19" s="226">
        <v>125286</v>
      </c>
      <c r="Q19" s="188">
        <v>28419</v>
      </c>
      <c r="R19" s="188">
        <v>11505</v>
      </c>
      <c r="S19" s="188">
        <v>48679</v>
      </c>
      <c r="T19" s="188">
        <v>48188</v>
      </c>
    </row>
    <row r="20" spans="2:24" ht="15" customHeight="1" thickBot="1">
      <c r="B20" s="84" t="s">
        <v>517</v>
      </c>
      <c r="C20" s="1353" t="s">
        <v>59</v>
      </c>
      <c r="D20" s="1333" t="s">
        <v>59</v>
      </c>
      <c r="E20" s="1333" t="s">
        <v>59</v>
      </c>
      <c r="F20" s="46">
        <v>65246.9</v>
      </c>
      <c r="G20" s="236">
        <v>65769.5</v>
      </c>
      <c r="H20" s="237">
        <v>62599</v>
      </c>
      <c r="I20" s="44">
        <v>63864</v>
      </c>
      <c r="J20" s="44">
        <v>61429</v>
      </c>
      <c r="K20" s="44">
        <v>63196</v>
      </c>
      <c r="L20" s="44">
        <v>62020</v>
      </c>
      <c r="M20" s="44">
        <v>61036</v>
      </c>
      <c r="O20" s="158">
        <v>2014</v>
      </c>
      <c r="P20" s="226">
        <v>129468</v>
      </c>
      <c r="Q20" s="188">
        <v>28442</v>
      </c>
      <c r="R20" s="188">
        <v>9283</v>
      </c>
      <c r="S20" s="188">
        <v>56633</v>
      </c>
      <c r="T20" s="188">
        <v>44393</v>
      </c>
    </row>
    <row r="21" spans="2:24" ht="15" customHeight="1" thickBot="1">
      <c r="B21" s="36" t="s">
        <v>518</v>
      </c>
      <c r="C21" s="1353" t="s">
        <v>59</v>
      </c>
      <c r="D21" s="1333" t="s">
        <v>59</v>
      </c>
      <c r="E21" s="1333" t="s">
        <v>59</v>
      </c>
      <c r="F21" s="46">
        <v>3737.5</v>
      </c>
      <c r="G21" s="236">
        <v>4661.67</v>
      </c>
      <c r="H21" s="237">
        <v>6184</v>
      </c>
      <c r="I21" s="44">
        <v>6219</v>
      </c>
      <c r="J21" s="44">
        <v>6007</v>
      </c>
      <c r="K21" s="44">
        <v>4884</v>
      </c>
      <c r="L21" s="44">
        <v>6676</v>
      </c>
      <c r="M21" s="44">
        <v>5699</v>
      </c>
      <c r="O21" s="158">
        <v>2013</v>
      </c>
      <c r="P21" s="226">
        <v>133482</v>
      </c>
      <c r="Q21" s="188">
        <v>36097</v>
      </c>
      <c r="R21" s="188">
        <v>16652</v>
      </c>
      <c r="S21" s="188">
        <v>55145</v>
      </c>
      <c r="T21" s="188">
        <v>42240</v>
      </c>
      <c r="X21" s="18"/>
    </row>
    <row r="22" spans="2:24" ht="15" customHeight="1" thickBot="1">
      <c r="B22" s="36" t="s">
        <v>519</v>
      </c>
      <c r="C22" s="1353" t="s">
        <v>59</v>
      </c>
      <c r="D22" s="1333" t="s">
        <v>59</v>
      </c>
      <c r="E22" s="1333" t="s">
        <v>59</v>
      </c>
      <c r="F22" s="46">
        <v>3473.76</v>
      </c>
      <c r="G22" s="236">
        <v>3527.93</v>
      </c>
      <c r="H22" s="237">
        <v>3900</v>
      </c>
      <c r="I22" s="59">
        <v>4608</v>
      </c>
      <c r="J22" s="59">
        <v>4334</v>
      </c>
      <c r="K22" s="59">
        <v>4733</v>
      </c>
      <c r="L22" s="59">
        <v>5407</v>
      </c>
      <c r="M22" s="59">
        <v>7033</v>
      </c>
      <c r="O22" s="92" t="s">
        <v>1969</v>
      </c>
      <c r="Q22" s="82" t="s">
        <v>1972</v>
      </c>
      <c r="X22" s="18"/>
    </row>
    <row r="23" spans="2:24" ht="15" customHeight="1" thickBot="1">
      <c r="B23" s="36" t="s">
        <v>520</v>
      </c>
      <c r="C23" s="1353" t="s">
        <v>59</v>
      </c>
      <c r="D23" s="1333" t="s">
        <v>59</v>
      </c>
      <c r="E23" s="1333" t="s">
        <v>59</v>
      </c>
      <c r="F23" s="46">
        <v>1989.86</v>
      </c>
      <c r="G23" s="236">
        <v>2205.87</v>
      </c>
      <c r="H23" s="237">
        <v>2418</v>
      </c>
      <c r="I23" s="44">
        <v>3271</v>
      </c>
      <c r="J23" s="44">
        <v>2699</v>
      </c>
      <c r="K23" s="44">
        <v>2389</v>
      </c>
      <c r="L23" s="44">
        <v>2751</v>
      </c>
      <c r="M23" s="44">
        <v>3850</v>
      </c>
      <c r="O23" s="92" t="s">
        <v>1974</v>
      </c>
    </row>
    <row r="24" spans="2:24" ht="15" customHeight="1" thickBot="1">
      <c r="B24" s="36" t="s">
        <v>521</v>
      </c>
      <c r="C24" s="1353" t="s">
        <v>59</v>
      </c>
      <c r="D24" s="1333" t="s">
        <v>59</v>
      </c>
      <c r="E24" s="1333" t="s">
        <v>59</v>
      </c>
      <c r="F24" s="46">
        <v>1313.48</v>
      </c>
      <c r="G24" s="236">
        <v>1202.72</v>
      </c>
      <c r="H24" s="237">
        <v>1681</v>
      </c>
      <c r="I24" s="44">
        <v>2205</v>
      </c>
      <c r="J24" s="44">
        <v>1244</v>
      </c>
      <c r="K24" s="44">
        <v>820</v>
      </c>
      <c r="L24" s="44" t="s">
        <v>59</v>
      </c>
      <c r="M24" s="44" t="s">
        <v>59</v>
      </c>
      <c r="O24" s="92"/>
    </row>
    <row r="25" spans="2:24" ht="15" customHeight="1" thickBot="1">
      <c r="B25" s="36" t="s">
        <v>522</v>
      </c>
      <c r="C25" s="1353" t="s">
        <v>59</v>
      </c>
      <c r="D25" s="1333" t="s">
        <v>59</v>
      </c>
      <c r="E25" s="1333" t="s">
        <v>59</v>
      </c>
      <c r="F25" s="46">
        <v>1903.81</v>
      </c>
      <c r="G25" s="236">
        <v>1866.59</v>
      </c>
      <c r="H25" s="237">
        <v>1888</v>
      </c>
      <c r="I25" s="44">
        <v>1706</v>
      </c>
      <c r="J25" s="44">
        <v>1767</v>
      </c>
      <c r="K25" s="44">
        <v>712</v>
      </c>
      <c r="L25" s="44">
        <v>753</v>
      </c>
      <c r="M25" s="44">
        <v>1294</v>
      </c>
      <c r="O25" s="82"/>
    </row>
    <row r="26" spans="2:24" ht="15" customHeight="1" thickBot="1">
      <c r="B26" s="36" t="s">
        <v>523</v>
      </c>
      <c r="C26" s="1353" t="s">
        <v>59</v>
      </c>
      <c r="D26" s="1333" t="s">
        <v>59</v>
      </c>
      <c r="E26" s="1333" t="s">
        <v>59</v>
      </c>
      <c r="F26" s="46">
        <v>851.87</v>
      </c>
      <c r="G26" s="236">
        <v>727.07</v>
      </c>
      <c r="H26" s="237">
        <v>789</v>
      </c>
      <c r="I26" s="44">
        <v>571</v>
      </c>
      <c r="J26" s="44">
        <v>610</v>
      </c>
      <c r="K26" s="44">
        <v>544</v>
      </c>
      <c r="L26" s="44">
        <v>506</v>
      </c>
      <c r="M26" s="44">
        <v>672</v>
      </c>
      <c r="U26" s="238"/>
    </row>
    <row r="27" spans="2:24" ht="15" customHeight="1" thickBot="1">
      <c r="B27" s="36" t="s">
        <v>324</v>
      </c>
      <c r="C27" s="1353" t="s">
        <v>59</v>
      </c>
      <c r="D27" s="1333" t="s">
        <v>59</v>
      </c>
      <c r="E27" s="1333" t="s">
        <v>59</v>
      </c>
      <c r="F27" s="46" t="s">
        <v>59</v>
      </c>
      <c r="G27" s="236" t="s">
        <v>59</v>
      </c>
      <c r="H27" s="236" t="s">
        <v>59</v>
      </c>
      <c r="I27" s="44" t="s">
        <v>59</v>
      </c>
      <c r="J27" s="44" t="s">
        <v>59</v>
      </c>
      <c r="K27" s="44" t="s">
        <v>59</v>
      </c>
      <c r="L27" s="44">
        <v>10954</v>
      </c>
      <c r="M27" s="44">
        <v>18100</v>
      </c>
      <c r="O27" s="86" t="s">
        <v>382</v>
      </c>
      <c r="P27" s="18"/>
      <c r="Q27" s="18"/>
      <c r="R27" s="18"/>
      <c r="V27" s="23"/>
      <c r="W27" s="23"/>
    </row>
    <row r="28" spans="2:24" ht="15" customHeight="1" thickBot="1">
      <c r="B28" s="84" t="s">
        <v>524</v>
      </c>
      <c r="C28" s="1353" t="s">
        <v>59</v>
      </c>
      <c r="D28" s="1333" t="s">
        <v>59</v>
      </c>
      <c r="E28" s="1333" t="s">
        <v>59</v>
      </c>
      <c r="F28" s="46">
        <v>16565.2</v>
      </c>
      <c r="G28" s="236">
        <v>18347.3</v>
      </c>
      <c r="H28" s="237">
        <v>18994</v>
      </c>
      <c r="I28" s="44">
        <v>19365</v>
      </c>
      <c r="J28" s="44">
        <v>18438</v>
      </c>
      <c r="K28" s="44">
        <v>17824</v>
      </c>
      <c r="L28" s="44">
        <v>19788</v>
      </c>
      <c r="M28" s="44">
        <v>18805</v>
      </c>
      <c r="O28" s="156"/>
      <c r="P28" s="1559" t="s">
        <v>371</v>
      </c>
      <c r="Q28" s="1559"/>
      <c r="R28" s="1559" t="s">
        <v>373</v>
      </c>
      <c r="S28" s="1559"/>
      <c r="T28" s="1559"/>
    </row>
    <row r="29" spans="2:24" ht="15" customHeight="1" thickBot="1">
      <c r="B29" s="84" t="s">
        <v>525</v>
      </c>
      <c r="C29" s="1353" t="s">
        <v>59</v>
      </c>
      <c r="D29" s="1333" t="s">
        <v>59</v>
      </c>
      <c r="E29" s="1333" t="s">
        <v>59</v>
      </c>
      <c r="F29" s="46">
        <v>32274.2</v>
      </c>
      <c r="G29" s="236">
        <v>44278.7</v>
      </c>
      <c r="H29" s="237">
        <v>44502</v>
      </c>
      <c r="I29" s="44">
        <v>35577</v>
      </c>
      <c r="J29" s="44">
        <v>25970</v>
      </c>
      <c r="K29" s="44">
        <v>23728</v>
      </c>
      <c r="L29" s="44">
        <v>24807</v>
      </c>
      <c r="M29" s="44">
        <v>24112</v>
      </c>
      <c r="O29" s="194"/>
      <c r="P29" s="1338" t="s">
        <v>372</v>
      </c>
      <c r="Q29" s="1560" t="s">
        <v>1966</v>
      </c>
      <c r="R29" s="1338" t="s">
        <v>372</v>
      </c>
      <c r="S29" s="1560" t="s">
        <v>1967</v>
      </c>
      <c r="T29" s="1338" t="s">
        <v>1968</v>
      </c>
      <c r="W29" s="139"/>
    </row>
    <row r="30" spans="2:24" ht="15" customHeight="1" thickBot="1">
      <c r="B30" s="49" t="s">
        <v>526</v>
      </c>
      <c r="C30" s="1354">
        <v>824428</v>
      </c>
      <c r="D30" s="1344">
        <v>837296</v>
      </c>
      <c r="E30" s="1344">
        <v>896865</v>
      </c>
      <c r="F30" s="45">
        <v>856278</v>
      </c>
      <c r="G30" s="233">
        <v>973642.23</v>
      </c>
      <c r="H30" s="235">
        <v>843518</v>
      </c>
      <c r="I30" s="43">
        <v>800560</v>
      </c>
      <c r="J30" s="43">
        <v>769635</v>
      </c>
      <c r="K30" s="43">
        <v>768685</v>
      </c>
      <c r="L30" s="43">
        <v>740954</v>
      </c>
      <c r="M30" s="43">
        <v>714101</v>
      </c>
      <c r="O30" s="194"/>
      <c r="P30" s="1338"/>
      <c r="Q30" s="1560"/>
      <c r="R30" s="1338"/>
      <c r="S30" s="1560"/>
      <c r="T30" s="1338"/>
      <c r="W30" s="139"/>
    </row>
    <row r="31" spans="2:24" ht="15" customHeight="1" thickBot="1">
      <c r="B31" s="49" t="s">
        <v>122</v>
      </c>
      <c r="C31" s="1354" t="s">
        <v>59</v>
      </c>
      <c r="D31" s="1344" t="s">
        <v>59</v>
      </c>
      <c r="E31" s="1344" t="s">
        <v>59</v>
      </c>
      <c r="F31" s="45">
        <v>6450.9</v>
      </c>
      <c r="G31" s="233">
        <v>6009.6</v>
      </c>
      <c r="H31" s="235">
        <v>5658</v>
      </c>
      <c r="I31" s="43" t="s">
        <v>59</v>
      </c>
      <c r="J31" s="43">
        <v>5252</v>
      </c>
      <c r="K31" s="43">
        <v>5431</v>
      </c>
      <c r="L31" s="43">
        <v>4531</v>
      </c>
      <c r="M31" s="43">
        <v>4612</v>
      </c>
      <c r="O31" s="157" t="s">
        <v>1970</v>
      </c>
      <c r="P31" s="216" t="s">
        <v>59</v>
      </c>
      <c r="Q31" s="46">
        <v>588</v>
      </c>
      <c r="R31" s="226" t="s">
        <v>59</v>
      </c>
      <c r="S31" s="46" t="s">
        <v>59</v>
      </c>
      <c r="T31" s="46">
        <v>3860</v>
      </c>
    </row>
    <row r="32" spans="2:24" ht="15" customHeight="1" thickBot="1">
      <c r="B32" s="49" t="s">
        <v>527</v>
      </c>
      <c r="C32" s="1354" t="s">
        <v>59</v>
      </c>
      <c r="D32" s="1344" t="s">
        <v>59</v>
      </c>
      <c r="E32" s="1344" t="s">
        <v>59</v>
      </c>
      <c r="F32" s="45">
        <v>10394.299999999999</v>
      </c>
      <c r="G32" s="233">
        <v>8996.2000000000007</v>
      </c>
      <c r="H32" s="235">
        <v>8507</v>
      </c>
      <c r="I32" s="43">
        <v>8822</v>
      </c>
      <c r="J32" s="43">
        <v>8257</v>
      </c>
      <c r="K32" s="43">
        <v>7328</v>
      </c>
      <c r="L32" s="43">
        <v>6903</v>
      </c>
      <c r="M32" s="43">
        <v>8828</v>
      </c>
      <c r="O32" s="157">
        <v>2022</v>
      </c>
      <c r="P32" s="216" t="s">
        <v>59</v>
      </c>
      <c r="Q32" s="46">
        <v>896</v>
      </c>
      <c r="R32" s="216" t="s">
        <v>59</v>
      </c>
      <c r="S32" s="46" t="s">
        <v>59</v>
      </c>
      <c r="T32" s="46">
        <v>5249</v>
      </c>
      <c r="U32" s="121"/>
    </row>
    <row r="33" spans="2:22" ht="15" customHeight="1" thickBot="1">
      <c r="B33" s="49" t="s">
        <v>528</v>
      </c>
      <c r="C33" s="1354" t="s">
        <v>59</v>
      </c>
      <c r="D33" s="1344" t="s">
        <v>59</v>
      </c>
      <c r="E33" s="1344" t="s">
        <v>59</v>
      </c>
      <c r="F33" s="45">
        <v>3627.4</v>
      </c>
      <c r="G33" s="233">
        <v>3115.8</v>
      </c>
      <c r="H33" s="235">
        <v>3212</v>
      </c>
      <c r="I33" s="43">
        <v>2639</v>
      </c>
      <c r="J33" s="43">
        <v>2630</v>
      </c>
      <c r="K33" s="43">
        <v>6070</v>
      </c>
      <c r="L33" s="43">
        <v>5658</v>
      </c>
      <c r="M33" s="43">
        <v>4174</v>
      </c>
      <c r="O33" s="157">
        <v>2021</v>
      </c>
      <c r="P33" s="216">
        <v>3354</v>
      </c>
      <c r="Q33" s="46" t="s">
        <v>59</v>
      </c>
      <c r="R33" s="226" t="s">
        <v>59</v>
      </c>
      <c r="S33" s="46">
        <v>8623</v>
      </c>
      <c r="T33" s="46" t="s">
        <v>59</v>
      </c>
    </row>
    <row r="34" spans="2:22" ht="15" customHeight="1" thickBot="1">
      <c r="B34" s="49" t="s">
        <v>1979</v>
      </c>
      <c r="C34" s="1354">
        <v>40440</v>
      </c>
      <c r="D34" s="1344">
        <v>41274</v>
      </c>
      <c r="E34" s="1344" t="s">
        <v>59</v>
      </c>
      <c r="F34" s="45" t="s">
        <v>59</v>
      </c>
      <c r="G34" s="233" t="s">
        <v>59</v>
      </c>
      <c r="H34" s="235" t="s">
        <v>59</v>
      </c>
      <c r="I34" s="43" t="s">
        <v>59</v>
      </c>
      <c r="J34" s="43" t="s">
        <v>59</v>
      </c>
      <c r="K34" s="43" t="s">
        <v>59</v>
      </c>
      <c r="L34" s="43" t="s">
        <v>59</v>
      </c>
      <c r="M34" s="43" t="s">
        <v>59</v>
      </c>
      <c r="O34" s="157">
        <v>2020</v>
      </c>
      <c r="P34" s="216">
        <v>3282</v>
      </c>
      <c r="Q34" s="46" t="s">
        <v>59</v>
      </c>
      <c r="R34" s="216">
        <v>74925</v>
      </c>
      <c r="S34" s="46">
        <v>11320</v>
      </c>
      <c r="T34" s="46">
        <v>11320</v>
      </c>
    </row>
    <row r="35" spans="2:22" ht="15" customHeight="1" thickBot="1">
      <c r="B35" s="49" t="s">
        <v>123</v>
      </c>
      <c r="C35" s="1354" t="s">
        <v>59</v>
      </c>
      <c r="D35" s="1344" t="s">
        <v>59</v>
      </c>
      <c r="E35" s="1344" t="s">
        <v>59</v>
      </c>
      <c r="F35" s="45" t="s">
        <v>59</v>
      </c>
      <c r="G35" s="233" t="s">
        <v>59</v>
      </c>
      <c r="H35" s="233">
        <v>381</v>
      </c>
      <c r="I35" s="43">
        <v>610</v>
      </c>
      <c r="J35" s="43" t="s">
        <v>59</v>
      </c>
      <c r="K35" s="43">
        <v>705</v>
      </c>
      <c r="L35" s="43">
        <v>621</v>
      </c>
      <c r="M35" s="43">
        <v>53</v>
      </c>
      <c r="N35" s="126"/>
      <c r="O35" s="157">
        <v>2019</v>
      </c>
      <c r="P35" s="216">
        <v>3447</v>
      </c>
      <c r="Q35" s="46" t="s">
        <v>59</v>
      </c>
      <c r="R35" s="226">
        <v>78230</v>
      </c>
      <c r="S35" s="46">
        <v>13001</v>
      </c>
      <c r="T35" s="46">
        <v>13001</v>
      </c>
    </row>
    <row r="36" spans="2:22" ht="15" customHeight="1" thickBot="1">
      <c r="B36" s="49" t="s">
        <v>129</v>
      </c>
      <c r="C36" s="1354">
        <v>74146</v>
      </c>
      <c r="D36" s="1344">
        <v>123921</v>
      </c>
      <c r="E36" s="1344" t="s">
        <v>59</v>
      </c>
      <c r="F36" s="45" t="s">
        <v>59</v>
      </c>
      <c r="G36" s="233" t="s">
        <v>59</v>
      </c>
      <c r="H36" s="233" t="s">
        <v>59</v>
      </c>
      <c r="I36" s="43" t="s">
        <v>59</v>
      </c>
      <c r="J36" s="43" t="s">
        <v>59</v>
      </c>
      <c r="K36" s="43" t="s">
        <v>59</v>
      </c>
      <c r="L36" s="43" t="s">
        <v>59</v>
      </c>
      <c r="M36" s="43" t="s">
        <v>59</v>
      </c>
      <c r="O36" s="157">
        <v>2018</v>
      </c>
      <c r="P36" s="216">
        <v>3051</v>
      </c>
      <c r="Q36" s="46" t="s">
        <v>59</v>
      </c>
      <c r="R36" s="226">
        <v>70758</v>
      </c>
      <c r="S36" s="46">
        <v>13712</v>
      </c>
      <c r="T36" s="46">
        <v>13712</v>
      </c>
    </row>
    <row r="37" spans="2:22" ht="15" customHeight="1" thickBot="1">
      <c r="B37" s="77" t="s">
        <v>1988</v>
      </c>
      <c r="C37" s="1342"/>
      <c r="D37" s="1342"/>
      <c r="E37" s="1342"/>
      <c r="F37" s="1341"/>
      <c r="G37" s="126"/>
      <c r="H37" s="126"/>
      <c r="I37" s="126"/>
      <c r="J37" s="126"/>
      <c r="K37" s="94"/>
      <c r="L37" s="126"/>
      <c r="M37" s="126"/>
      <c r="O37" s="157">
        <v>2017</v>
      </c>
      <c r="P37" s="216">
        <v>2980</v>
      </c>
      <c r="Q37" s="46" t="s">
        <v>59</v>
      </c>
      <c r="R37" s="226">
        <v>80868</v>
      </c>
      <c r="S37" s="46">
        <v>13592</v>
      </c>
      <c r="T37" s="46">
        <v>13592</v>
      </c>
    </row>
    <row r="38" spans="2:22" ht="15" thickBot="1">
      <c r="B38" s="82" t="s">
        <v>1987</v>
      </c>
      <c r="O38" s="157">
        <v>2016</v>
      </c>
      <c r="P38" s="226">
        <v>3029</v>
      </c>
      <c r="Q38" s="188" t="s">
        <v>59</v>
      </c>
      <c r="R38" s="226">
        <v>79512</v>
      </c>
      <c r="S38" s="46">
        <v>14108</v>
      </c>
      <c r="T38" s="46">
        <v>14108</v>
      </c>
    </row>
    <row r="39" spans="2:22" ht="15" thickBot="1">
      <c r="B39" s="82" t="s">
        <v>1995</v>
      </c>
      <c r="C39" s="17"/>
      <c r="D39" s="17"/>
      <c r="E39" s="17"/>
      <c r="F39" s="17"/>
      <c r="G39" s="17"/>
      <c r="H39" s="17"/>
      <c r="I39" s="17"/>
      <c r="O39" s="157">
        <v>2015</v>
      </c>
      <c r="P39" s="226">
        <v>3220</v>
      </c>
      <c r="Q39" s="188" t="s">
        <v>59</v>
      </c>
      <c r="R39" s="226">
        <v>84978</v>
      </c>
      <c r="S39" s="46">
        <v>15592</v>
      </c>
      <c r="T39" s="46">
        <v>15592</v>
      </c>
      <c r="U39" s="82"/>
      <c r="V39" s="82"/>
    </row>
    <row r="40" spans="2:22">
      <c r="O40" s="87" t="s">
        <v>1969</v>
      </c>
      <c r="Q40" s="1340" t="s">
        <v>1971</v>
      </c>
      <c r="S40" s="87"/>
      <c r="U40" s="82"/>
      <c r="V40" s="82"/>
    </row>
    <row r="41" spans="2:22" ht="14.55" customHeight="1">
      <c r="O41" s="82" t="s">
        <v>1975</v>
      </c>
      <c r="P41" s="82"/>
      <c r="Q41" s="82"/>
      <c r="R41" s="82"/>
      <c r="S41" s="82"/>
      <c r="T41" s="82"/>
      <c r="U41" s="82"/>
      <c r="V41" s="82"/>
    </row>
    <row r="42" spans="2:22" ht="15.6">
      <c r="B42" s="83" t="s">
        <v>106</v>
      </c>
      <c r="F42" s="18"/>
      <c r="G42" s="18"/>
      <c r="H42" s="18"/>
      <c r="I42" s="18"/>
      <c r="O42" s="82" t="s">
        <v>1976</v>
      </c>
      <c r="P42" s="82"/>
      <c r="Q42" s="82"/>
      <c r="R42" s="82"/>
      <c r="S42" s="82"/>
      <c r="T42" s="82"/>
      <c r="U42" s="1339"/>
      <c r="V42" s="82"/>
    </row>
    <row r="43" spans="2:22" ht="18.45" customHeight="1">
      <c r="B43" s="1124"/>
      <c r="C43" s="1557" t="s">
        <v>1989</v>
      </c>
      <c r="D43" s="1557"/>
      <c r="E43" s="1557"/>
      <c r="F43" s="1557" t="s">
        <v>1998</v>
      </c>
      <c r="G43" s="1557"/>
      <c r="H43" s="1557"/>
      <c r="O43" s="82" t="s">
        <v>1977</v>
      </c>
      <c r="P43" s="82"/>
      <c r="Q43" s="82"/>
      <c r="R43" s="82"/>
      <c r="S43" s="82"/>
      <c r="T43" s="82"/>
      <c r="U43" s="121"/>
    </row>
    <row r="44" spans="2:22" ht="15" customHeight="1">
      <c r="B44" s="194"/>
      <c r="C44" s="831" t="s">
        <v>1983</v>
      </c>
      <c r="D44" s="831" t="s">
        <v>1905</v>
      </c>
      <c r="E44" s="831" t="s">
        <v>1984</v>
      </c>
      <c r="F44" s="831" t="s">
        <v>1983</v>
      </c>
      <c r="G44" s="831" t="s">
        <v>1905</v>
      </c>
      <c r="H44" s="831" t="s">
        <v>1984</v>
      </c>
      <c r="I44" s="18"/>
      <c r="O44" s="82" t="s">
        <v>1978</v>
      </c>
      <c r="P44" s="82"/>
      <c r="Q44" s="82"/>
      <c r="R44" s="82"/>
      <c r="S44" s="82"/>
      <c r="T44" s="82"/>
      <c r="U44" s="121"/>
    </row>
    <row r="45" spans="2:22" ht="16.5" customHeight="1" thickBot="1">
      <c r="B45" s="1345" t="s">
        <v>1996</v>
      </c>
      <c r="C45" s="1351">
        <v>216794791.5</v>
      </c>
      <c r="D45" s="1348">
        <v>225476394.90000001</v>
      </c>
      <c r="E45" s="1348">
        <v>216064843.90000001</v>
      </c>
      <c r="F45" s="1351">
        <v>28302</v>
      </c>
      <c r="G45" s="1348">
        <v>31852</v>
      </c>
      <c r="H45" s="1348">
        <v>28324</v>
      </c>
      <c r="I45" s="18"/>
      <c r="U45" s="121"/>
    </row>
    <row r="46" spans="2:22" ht="15" customHeight="1" thickBot="1">
      <c r="B46" s="1346" t="s">
        <v>1156</v>
      </c>
      <c r="C46" s="1351">
        <v>24143924</v>
      </c>
      <c r="D46" s="1348">
        <v>26397223.399999999</v>
      </c>
      <c r="E46" s="1347" t="s">
        <v>59</v>
      </c>
      <c r="F46" s="1351">
        <v>3152</v>
      </c>
      <c r="G46" s="1348">
        <v>3729</v>
      </c>
      <c r="H46" s="1347" t="s">
        <v>59</v>
      </c>
      <c r="I46" s="18"/>
      <c r="J46" s="18"/>
      <c r="P46" s="56"/>
      <c r="Q46" s="122"/>
      <c r="R46" s="1019"/>
      <c r="T46" s="121"/>
      <c r="U46" s="121"/>
    </row>
    <row r="47" spans="2:22" ht="15" customHeight="1" thickBot="1">
      <c r="B47" s="1346" t="s">
        <v>61</v>
      </c>
      <c r="C47" s="1351">
        <v>65219774.399999999</v>
      </c>
      <c r="D47" s="1348">
        <v>59038380.899999999</v>
      </c>
      <c r="E47" s="1347" t="s">
        <v>59</v>
      </c>
      <c r="F47" s="1351">
        <v>8514</v>
      </c>
      <c r="G47" s="1348">
        <v>8340</v>
      </c>
      <c r="H47" s="1347" t="s">
        <v>59</v>
      </c>
      <c r="I47" s="18"/>
      <c r="P47" s="56"/>
      <c r="Q47" s="122"/>
      <c r="R47" s="1019"/>
      <c r="S47" s="1020"/>
      <c r="T47" s="121"/>
      <c r="U47" s="121"/>
    </row>
    <row r="48" spans="2:22" ht="15" customHeight="1" thickBot="1">
      <c r="B48" s="1346" t="s">
        <v>70</v>
      </c>
      <c r="C48" s="1351">
        <v>93062988.099999994</v>
      </c>
      <c r="D48" s="1348">
        <v>103872046.09999999</v>
      </c>
      <c r="E48" s="1347" t="s">
        <v>59</v>
      </c>
      <c r="F48" s="1351">
        <v>12149</v>
      </c>
      <c r="G48" s="1348">
        <v>14674</v>
      </c>
      <c r="H48" s="1347" t="s">
        <v>59</v>
      </c>
      <c r="P48" s="56"/>
      <c r="Q48" s="122"/>
      <c r="R48" s="1019"/>
      <c r="S48" s="1020"/>
      <c r="T48" s="121"/>
      <c r="U48" s="121"/>
    </row>
    <row r="49" spans="2:21" ht="15" customHeight="1" thickBot="1">
      <c r="B49" s="1346" t="s">
        <v>1981</v>
      </c>
      <c r="C49" s="1351">
        <v>6641697</v>
      </c>
      <c r="D49" s="1348">
        <v>7611789.2999999998</v>
      </c>
      <c r="E49" s="1347" t="s">
        <v>59</v>
      </c>
      <c r="F49" s="1351">
        <v>867</v>
      </c>
      <c r="G49" s="1348">
        <v>1075</v>
      </c>
      <c r="H49" s="1347" t="s">
        <v>59</v>
      </c>
      <c r="P49" s="56"/>
      <c r="Q49" s="122"/>
      <c r="R49" s="1019"/>
      <c r="S49" s="1020"/>
      <c r="T49" s="121"/>
      <c r="U49" s="121"/>
    </row>
    <row r="50" spans="2:21" ht="15" thickBot="1">
      <c r="B50" s="1346" t="s">
        <v>129</v>
      </c>
      <c r="C50" s="1351">
        <v>9291745</v>
      </c>
      <c r="D50" s="1348">
        <v>10885554.199999999</v>
      </c>
      <c r="E50" s="1347" t="s">
        <v>59</v>
      </c>
      <c r="F50" s="1351">
        <v>1213</v>
      </c>
      <c r="G50" s="1348">
        <v>1538</v>
      </c>
      <c r="H50" s="1347" t="s">
        <v>59</v>
      </c>
      <c r="P50" s="56"/>
      <c r="Q50" s="122"/>
      <c r="R50" s="1019"/>
      <c r="S50" s="1020"/>
      <c r="T50" s="121"/>
      <c r="U50" s="121"/>
    </row>
    <row r="51" spans="2:21">
      <c r="B51" s="77" t="s">
        <v>1980</v>
      </c>
      <c r="P51" s="56"/>
      <c r="Q51" s="122"/>
      <c r="R51" s="1019"/>
      <c r="S51" s="1020"/>
      <c r="T51" s="121"/>
      <c r="U51" s="121"/>
    </row>
    <row r="52" spans="2:21">
      <c r="B52" s="87" t="s">
        <v>1982</v>
      </c>
      <c r="P52" s="56"/>
      <c r="Q52" s="122"/>
      <c r="R52" s="121"/>
      <c r="S52" s="1020"/>
      <c r="T52" s="121"/>
      <c r="U52" s="121"/>
    </row>
    <row r="53" spans="2:21">
      <c r="B53" s="82" t="s">
        <v>1999</v>
      </c>
      <c r="P53" s="56"/>
      <c r="Q53" s="122"/>
      <c r="R53" s="121"/>
      <c r="S53" s="121"/>
      <c r="T53" s="121"/>
    </row>
    <row r="54" spans="2:21">
      <c r="B54" s="87"/>
      <c r="P54" s="56"/>
      <c r="Q54" s="122"/>
      <c r="R54" s="121"/>
      <c r="S54" s="121"/>
      <c r="T54" s="121"/>
    </row>
    <row r="55" spans="2:21" ht="15.6">
      <c r="B55" s="83" t="s">
        <v>253</v>
      </c>
      <c r="C55" s="166"/>
      <c r="D55" s="166"/>
      <c r="E55" s="166"/>
      <c r="P55" s="56"/>
      <c r="Q55" s="122"/>
      <c r="R55" s="121"/>
      <c r="S55" s="121"/>
      <c r="T55" s="121"/>
    </row>
    <row r="56" spans="2:21" ht="15.6">
      <c r="B56" s="83" t="s">
        <v>1985</v>
      </c>
      <c r="C56" s="166"/>
      <c r="D56" s="166"/>
      <c r="E56" s="166"/>
      <c r="P56" s="56"/>
      <c r="Q56" s="122"/>
      <c r="R56" s="121"/>
      <c r="S56" s="121"/>
      <c r="T56" s="121"/>
    </row>
    <row r="57" spans="2:21">
      <c r="B57" s="1124"/>
      <c r="C57" s="831" t="s">
        <v>1983</v>
      </c>
      <c r="D57" s="831" t="s">
        <v>1907</v>
      </c>
      <c r="E57" s="831" t="s">
        <v>1984</v>
      </c>
      <c r="S57" s="121"/>
    </row>
    <row r="58" spans="2:21" ht="15" thickBot="1">
      <c r="B58" s="299" t="s">
        <v>1986</v>
      </c>
      <c r="C58" s="1351">
        <v>31538784.300000001</v>
      </c>
      <c r="D58" s="1348">
        <v>32444297.399999999</v>
      </c>
      <c r="E58" s="1348">
        <v>28330639.809999999</v>
      </c>
    </row>
    <row r="59" spans="2:21" ht="15" thickBot="1">
      <c r="B59" s="299" t="s">
        <v>61</v>
      </c>
      <c r="C59" s="1351">
        <v>34254065.100000001</v>
      </c>
      <c r="D59" s="1348">
        <v>15270016.199999999</v>
      </c>
      <c r="E59" s="1348">
        <v>30574776.940000001</v>
      </c>
    </row>
    <row r="60" spans="2:21" ht="15" thickBot="1">
      <c r="B60" s="299" t="s">
        <v>70</v>
      </c>
      <c r="C60" s="1351">
        <v>17328143.899999999</v>
      </c>
      <c r="D60" s="1348">
        <v>14523900.5</v>
      </c>
      <c r="E60" s="1348" t="s">
        <v>59</v>
      </c>
    </row>
    <row r="61" spans="2:21">
      <c r="B61" s="77" t="s">
        <v>1969</v>
      </c>
      <c r="C61" s="1349"/>
      <c r="D61" s="1349"/>
      <c r="E61" s="1350"/>
    </row>
    <row r="62" spans="2:21">
      <c r="B62" s="87" t="s">
        <v>1982</v>
      </c>
    </row>
  </sheetData>
  <sortState xmlns:xlrd2="http://schemas.microsoft.com/office/spreadsheetml/2017/richdata2" ref="P46:S51">
    <sortCondition descending="1" ref="P46"/>
  </sortState>
  <mergeCells count="7">
    <mergeCell ref="C43:E43"/>
    <mergeCell ref="F43:H43"/>
    <mergeCell ref="Q9:R9"/>
    <mergeCell ref="R28:T28"/>
    <mergeCell ref="P28:Q28"/>
    <mergeCell ref="S29:S30"/>
    <mergeCell ref="Q29:Q30"/>
  </mergeCells>
  <phoneticPr fontId="138" type="noConversion"/>
  <pageMargins left="0.23622047244094491" right="0.23622047244094491" top="0" bottom="0.74803149606299213" header="0.31496062992125984" footer="0.31496062992125984"/>
  <pageSetup paperSize="9" orientation="landscape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B1:R48"/>
  <sheetViews>
    <sheetView showGridLines="0" zoomScale="85" zoomScaleNormal="85" workbookViewId="0">
      <selection activeCell="N29" sqref="N29"/>
    </sheetView>
  </sheetViews>
  <sheetFormatPr defaultColWidth="11.44140625" defaultRowHeight="14.4"/>
  <cols>
    <col min="1" max="1" width="5.109375" customWidth="1"/>
    <col min="2" max="3" width="17.33203125" customWidth="1"/>
    <col min="4" max="15" width="7.44140625" customWidth="1"/>
  </cols>
  <sheetData>
    <row r="1" spans="2:18" ht="15" customHeight="1"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2:18" ht="15" customHeight="1"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</row>
    <row r="3" spans="2:18" ht="15" customHeight="1">
      <c r="B3" s="83" t="s">
        <v>124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2:18" ht="15" customHeight="1"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</row>
    <row r="5" spans="2:18" ht="15" customHeight="1">
      <c r="B5" s="83" t="s">
        <v>106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</row>
    <row r="6" spans="2:18" ht="15" customHeight="1">
      <c r="B6" s="93" t="s">
        <v>46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</row>
    <row r="7" spans="2:18" ht="15" customHeight="1">
      <c r="B7" s="194"/>
      <c r="C7" s="85">
        <v>2023</v>
      </c>
      <c r="D7" s="85">
        <v>2022</v>
      </c>
      <c r="E7" s="85">
        <v>2021</v>
      </c>
      <c r="F7" s="85">
        <v>2020</v>
      </c>
      <c r="G7" s="85">
        <v>2019</v>
      </c>
      <c r="H7" s="85">
        <v>2018</v>
      </c>
      <c r="I7" s="85">
        <v>2017</v>
      </c>
      <c r="J7" s="85">
        <v>2016</v>
      </c>
      <c r="K7" s="85">
        <v>2015</v>
      </c>
      <c r="L7" s="85">
        <v>2014</v>
      </c>
      <c r="M7" s="1047"/>
      <c r="N7" s="894"/>
      <c r="O7" s="894"/>
    </row>
    <row r="8" spans="2:18" ht="15" customHeight="1" thickBot="1">
      <c r="B8" s="49" t="s">
        <v>53</v>
      </c>
      <c r="C8" s="1144">
        <v>2825</v>
      </c>
      <c r="D8" s="1207">
        <v>2827</v>
      </c>
      <c r="E8" s="1268">
        <v>2897</v>
      </c>
      <c r="F8" s="203">
        <v>3003</v>
      </c>
      <c r="G8" s="203">
        <v>3038</v>
      </c>
      <c r="H8" s="203">
        <v>3054</v>
      </c>
      <c r="I8" s="203">
        <v>3017</v>
      </c>
      <c r="J8" s="43">
        <v>3358</v>
      </c>
      <c r="K8" s="43">
        <v>3267</v>
      </c>
      <c r="L8" s="43">
        <v>3288</v>
      </c>
      <c r="M8" s="259"/>
      <c r="N8" s="259"/>
      <c r="O8" s="259"/>
      <c r="Q8" s="23"/>
      <c r="R8" s="23"/>
    </row>
    <row r="9" spans="2:18" ht="15" customHeight="1" thickBot="1">
      <c r="B9" s="84" t="s">
        <v>115</v>
      </c>
      <c r="C9" s="1143">
        <v>594</v>
      </c>
      <c r="D9" s="1140">
        <v>593</v>
      </c>
      <c r="E9" s="1269">
        <v>574</v>
      </c>
      <c r="F9" s="204">
        <v>599</v>
      </c>
      <c r="G9" s="204">
        <v>649</v>
      </c>
      <c r="H9" s="204">
        <v>637</v>
      </c>
      <c r="I9" s="204">
        <v>649</v>
      </c>
      <c r="J9" s="44">
        <v>654</v>
      </c>
      <c r="K9" s="44">
        <v>703</v>
      </c>
      <c r="L9" s="44">
        <v>747</v>
      </c>
      <c r="M9" s="895"/>
      <c r="N9" s="895"/>
      <c r="O9" s="895"/>
    </row>
    <row r="10" spans="2:18" ht="15" customHeight="1" thickBot="1">
      <c r="B10" s="84" t="s">
        <v>211</v>
      </c>
      <c r="C10" s="1143">
        <v>88</v>
      </c>
      <c r="D10" s="1140">
        <v>90</v>
      </c>
      <c r="E10" s="1269">
        <v>92</v>
      </c>
      <c r="F10" s="44">
        <v>115</v>
      </c>
      <c r="G10" s="44">
        <v>117</v>
      </c>
      <c r="H10" s="44">
        <v>133</v>
      </c>
      <c r="I10" s="44">
        <v>144</v>
      </c>
      <c r="J10" s="44">
        <v>164</v>
      </c>
      <c r="K10" s="44">
        <v>189</v>
      </c>
      <c r="L10" s="44">
        <v>210</v>
      </c>
      <c r="M10" s="895"/>
      <c r="N10" s="895"/>
      <c r="O10" s="895"/>
    </row>
    <row r="11" spans="2:18" ht="15" customHeight="1" thickBot="1">
      <c r="B11" s="84" t="s">
        <v>114</v>
      </c>
      <c r="C11" s="1143">
        <v>408</v>
      </c>
      <c r="D11" s="1140">
        <v>392</v>
      </c>
      <c r="E11" s="1269">
        <v>377</v>
      </c>
      <c r="F11" s="44">
        <v>402</v>
      </c>
      <c r="G11" s="44">
        <v>352</v>
      </c>
      <c r="H11" s="44">
        <v>343</v>
      </c>
      <c r="I11" s="44">
        <v>325</v>
      </c>
      <c r="J11" s="44">
        <v>347</v>
      </c>
      <c r="K11" s="44">
        <v>322</v>
      </c>
      <c r="L11" s="44">
        <v>303</v>
      </c>
      <c r="M11" s="895"/>
      <c r="N11" s="895"/>
      <c r="O11" s="895"/>
    </row>
    <row r="12" spans="2:18" ht="15" customHeight="1" thickBot="1">
      <c r="B12" s="84" t="s">
        <v>125</v>
      </c>
      <c r="C12" s="1143">
        <v>23</v>
      </c>
      <c r="D12" s="1140">
        <v>25</v>
      </c>
      <c r="E12" s="1269">
        <v>29</v>
      </c>
      <c r="F12" s="44">
        <v>41</v>
      </c>
      <c r="G12" s="44">
        <v>49</v>
      </c>
      <c r="H12" s="44">
        <v>47</v>
      </c>
      <c r="I12" s="44">
        <v>55</v>
      </c>
      <c r="J12" s="44">
        <v>52</v>
      </c>
      <c r="K12" s="44">
        <v>48</v>
      </c>
      <c r="L12" s="44">
        <v>53</v>
      </c>
      <c r="M12" s="895"/>
      <c r="N12" s="895"/>
      <c r="O12" s="895"/>
    </row>
    <row r="13" spans="2:18" ht="15" customHeight="1" thickBot="1">
      <c r="B13" s="84" t="s">
        <v>448</v>
      </c>
      <c r="C13" s="1143">
        <v>248</v>
      </c>
      <c r="D13" s="1140">
        <v>248</v>
      </c>
      <c r="E13" s="1269">
        <v>254</v>
      </c>
      <c r="F13" s="44">
        <v>245</v>
      </c>
      <c r="G13" s="44">
        <v>237</v>
      </c>
      <c r="H13" s="44">
        <v>247</v>
      </c>
      <c r="I13" s="44">
        <v>249</v>
      </c>
      <c r="J13" s="44">
        <v>266</v>
      </c>
      <c r="K13" s="44">
        <v>261</v>
      </c>
      <c r="L13" s="44">
        <v>261</v>
      </c>
      <c r="M13" s="895"/>
      <c r="N13" s="895"/>
      <c r="O13" s="895"/>
    </row>
    <row r="14" spans="2:18" ht="15" customHeight="1" thickBot="1">
      <c r="B14" s="84" t="s">
        <v>113</v>
      </c>
      <c r="C14" s="1143">
        <v>152</v>
      </c>
      <c r="D14" s="1140">
        <v>160</v>
      </c>
      <c r="E14" s="1269">
        <v>157</v>
      </c>
      <c r="F14" s="44">
        <v>166</v>
      </c>
      <c r="G14" s="44">
        <v>178</v>
      </c>
      <c r="H14" s="44">
        <v>189</v>
      </c>
      <c r="I14" s="44">
        <v>189</v>
      </c>
      <c r="J14" s="44">
        <v>193</v>
      </c>
      <c r="K14" s="44">
        <v>203</v>
      </c>
      <c r="L14" s="44">
        <v>222</v>
      </c>
      <c r="M14" s="895"/>
      <c r="N14" s="895"/>
      <c r="O14" s="895"/>
    </row>
    <row r="15" spans="2:18" ht="15" customHeight="1" thickBot="1">
      <c r="B15" s="84" t="s">
        <v>121</v>
      </c>
      <c r="C15" s="1143">
        <v>141</v>
      </c>
      <c r="D15" s="1140">
        <v>141</v>
      </c>
      <c r="E15" s="1269">
        <v>147</v>
      </c>
      <c r="F15" s="44">
        <v>150</v>
      </c>
      <c r="G15" s="44">
        <v>161</v>
      </c>
      <c r="H15" s="44">
        <v>161</v>
      </c>
      <c r="I15" s="44">
        <v>175</v>
      </c>
      <c r="J15" s="44">
        <v>177</v>
      </c>
      <c r="K15" s="44">
        <v>183</v>
      </c>
      <c r="L15" s="44">
        <v>189</v>
      </c>
      <c r="M15" s="895"/>
      <c r="N15" s="895"/>
      <c r="O15" s="895"/>
    </row>
    <row r="16" spans="2:18" ht="15" customHeight="1" thickBot="1">
      <c r="B16" s="84" t="s">
        <v>117</v>
      </c>
      <c r="C16" s="1143">
        <v>30</v>
      </c>
      <c r="D16" s="1140">
        <v>39</v>
      </c>
      <c r="E16" s="1269">
        <v>50</v>
      </c>
      <c r="F16" s="44">
        <v>44</v>
      </c>
      <c r="G16" s="44">
        <v>43</v>
      </c>
      <c r="H16" s="44">
        <v>41</v>
      </c>
      <c r="I16" s="44">
        <v>45</v>
      </c>
      <c r="J16" s="44">
        <v>45</v>
      </c>
      <c r="K16" s="44">
        <v>48</v>
      </c>
      <c r="L16" s="44">
        <v>57</v>
      </c>
      <c r="M16" s="895"/>
      <c r="N16" s="895"/>
      <c r="O16" s="895"/>
      <c r="Q16" s="23"/>
    </row>
    <row r="17" spans="2:15" ht="15" customHeight="1" thickBot="1">
      <c r="B17" s="84" t="s">
        <v>116</v>
      </c>
      <c r="C17" s="1143">
        <v>56</v>
      </c>
      <c r="D17" s="1140">
        <v>61</v>
      </c>
      <c r="E17" s="1269">
        <v>55</v>
      </c>
      <c r="F17" s="44">
        <v>63</v>
      </c>
      <c r="G17" s="44">
        <v>64</v>
      </c>
      <c r="H17" s="44">
        <v>68</v>
      </c>
      <c r="I17" s="44">
        <v>65</v>
      </c>
      <c r="J17" s="44">
        <v>64</v>
      </c>
      <c r="K17" s="44">
        <v>74</v>
      </c>
      <c r="L17" s="44">
        <v>70</v>
      </c>
      <c r="M17" s="895"/>
      <c r="N17" s="895"/>
      <c r="O17" s="895"/>
    </row>
    <row r="18" spans="2:15" ht="15" customHeight="1" thickBot="1">
      <c r="B18" s="84" t="s">
        <v>126</v>
      </c>
      <c r="C18" s="1143">
        <v>92</v>
      </c>
      <c r="D18" s="1140">
        <v>88</v>
      </c>
      <c r="E18" s="1269">
        <v>98</v>
      </c>
      <c r="F18" s="44">
        <v>101</v>
      </c>
      <c r="G18" s="44">
        <v>91</v>
      </c>
      <c r="H18" s="44">
        <v>91</v>
      </c>
      <c r="I18" s="44">
        <v>69</v>
      </c>
      <c r="J18" s="44">
        <v>102</v>
      </c>
      <c r="K18" s="44">
        <v>105</v>
      </c>
      <c r="L18" s="44">
        <v>121</v>
      </c>
      <c r="M18" s="895"/>
      <c r="N18" s="895"/>
      <c r="O18" s="895"/>
    </row>
    <row r="19" spans="2:15" ht="15" customHeight="1" thickBot="1">
      <c r="B19" s="84" t="s">
        <v>127</v>
      </c>
      <c r="C19" s="1143">
        <v>1</v>
      </c>
      <c r="D19" s="1140">
        <v>1</v>
      </c>
      <c r="E19" s="1269">
        <v>3</v>
      </c>
      <c r="F19" s="44">
        <v>6</v>
      </c>
      <c r="G19" s="44">
        <v>10</v>
      </c>
      <c r="H19" s="44">
        <v>9</v>
      </c>
      <c r="I19" s="44">
        <v>9</v>
      </c>
      <c r="J19" s="44">
        <v>12</v>
      </c>
      <c r="K19" s="44">
        <v>12</v>
      </c>
      <c r="L19" s="44">
        <v>11</v>
      </c>
      <c r="M19" s="895"/>
      <c r="N19" s="895"/>
      <c r="O19" s="895"/>
    </row>
    <row r="20" spans="2:15" ht="15" customHeight="1" thickBot="1">
      <c r="B20" s="84" t="s">
        <v>128</v>
      </c>
      <c r="C20" s="1143">
        <v>58</v>
      </c>
      <c r="D20" s="1140">
        <v>56</v>
      </c>
      <c r="E20" s="1269">
        <v>58</v>
      </c>
      <c r="F20" s="44">
        <v>64</v>
      </c>
      <c r="G20" s="44">
        <v>66</v>
      </c>
      <c r="H20" s="44">
        <v>64</v>
      </c>
      <c r="I20" s="44">
        <v>60</v>
      </c>
      <c r="J20" s="44">
        <v>68</v>
      </c>
      <c r="K20" s="44">
        <v>54</v>
      </c>
      <c r="L20" s="44">
        <v>40</v>
      </c>
      <c r="M20" s="895"/>
      <c r="N20" s="895"/>
      <c r="O20" s="895"/>
    </row>
    <row r="21" spans="2:15" ht="15" customHeight="1" thickBot="1">
      <c r="B21" s="84" t="s">
        <v>129</v>
      </c>
      <c r="C21" s="1143">
        <v>932</v>
      </c>
      <c r="D21" s="1140">
        <v>932</v>
      </c>
      <c r="E21" s="1269">
        <v>1003</v>
      </c>
      <c r="F21" s="44" t="s">
        <v>1762</v>
      </c>
      <c r="G21" s="44" t="s">
        <v>1763</v>
      </c>
      <c r="H21" s="44" t="s">
        <v>1764</v>
      </c>
      <c r="I21" s="44">
        <v>984</v>
      </c>
      <c r="J21" s="44" t="s">
        <v>1765</v>
      </c>
      <c r="K21" s="44" t="s">
        <v>1766</v>
      </c>
      <c r="L21" s="44" t="s">
        <v>1761</v>
      </c>
      <c r="M21" s="895"/>
      <c r="N21" s="895"/>
      <c r="O21" s="895"/>
    </row>
    <row r="22" spans="2:15" ht="15" customHeight="1" thickBot="1">
      <c r="B22" s="49" t="s">
        <v>120</v>
      </c>
      <c r="C22" s="1144">
        <v>707</v>
      </c>
      <c r="D22" s="1207">
        <v>727</v>
      </c>
      <c r="E22" s="1268">
        <v>745</v>
      </c>
      <c r="F22" s="43">
        <v>741</v>
      </c>
      <c r="G22" s="43">
        <v>761</v>
      </c>
      <c r="H22" s="43">
        <v>750</v>
      </c>
      <c r="I22" s="43">
        <v>751</v>
      </c>
      <c r="J22" s="43">
        <v>745</v>
      </c>
      <c r="K22" s="43">
        <v>707</v>
      </c>
      <c r="L22" s="43">
        <v>691</v>
      </c>
      <c r="M22" s="259"/>
      <c r="N22" s="259"/>
      <c r="O22" s="259"/>
    </row>
    <row r="23" spans="2:15" ht="15" customHeight="1" thickBot="1">
      <c r="B23" s="49" t="s">
        <v>449</v>
      </c>
      <c r="C23" s="1144">
        <v>46</v>
      </c>
      <c r="D23" s="1207">
        <v>48</v>
      </c>
      <c r="E23" s="1268">
        <v>50</v>
      </c>
      <c r="F23" s="43">
        <v>50</v>
      </c>
      <c r="G23" s="43">
        <v>52</v>
      </c>
      <c r="H23" s="43">
        <v>49</v>
      </c>
      <c r="I23" s="43">
        <v>50</v>
      </c>
      <c r="J23" s="43">
        <v>60</v>
      </c>
      <c r="K23" s="43">
        <v>52</v>
      </c>
      <c r="L23" s="43">
        <v>53</v>
      </c>
      <c r="M23" s="259"/>
      <c r="N23" s="259"/>
      <c r="O23" s="259"/>
    </row>
    <row r="24" spans="2:15" ht="15" customHeight="1" thickBot="1">
      <c r="B24" s="49" t="s">
        <v>39</v>
      </c>
      <c r="C24" s="1144">
        <v>0</v>
      </c>
      <c r="D24" s="1207">
        <v>3</v>
      </c>
      <c r="E24" s="1268">
        <v>4</v>
      </c>
      <c r="F24" s="43">
        <v>2</v>
      </c>
      <c r="G24" s="43">
        <v>0</v>
      </c>
      <c r="H24" s="43">
        <v>2</v>
      </c>
      <c r="I24" s="43">
        <v>4</v>
      </c>
      <c r="J24" s="43">
        <v>7</v>
      </c>
      <c r="K24" s="43">
        <v>4</v>
      </c>
      <c r="L24" s="43">
        <v>1</v>
      </c>
      <c r="M24" s="259"/>
      <c r="N24" s="259"/>
      <c r="O24" s="259"/>
    </row>
    <row r="25" spans="2:15" ht="15" customHeight="1" thickBot="1">
      <c r="B25" s="49" t="s">
        <v>130</v>
      </c>
      <c r="C25" s="1144">
        <v>28</v>
      </c>
      <c r="D25" s="1207">
        <v>16</v>
      </c>
      <c r="E25" s="1268">
        <v>12</v>
      </c>
      <c r="F25" s="43">
        <v>18</v>
      </c>
      <c r="G25" s="43">
        <v>2</v>
      </c>
      <c r="H25" s="43">
        <v>10</v>
      </c>
      <c r="I25" s="43">
        <v>7</v>
      </c>
      <c r="J25" s="43">
        <v>1</v>
      </c>
      <c r="K25" s="43">
        <v>8</v>
      </c>
      <c r="L25" s="43">
        <v>9</v>
      </c>
      <c r="M25" s="259"/>
      <c r="N25" s="259"/>
      <c r="O25" s="259"/>
    </row>
    <row r="26" spans="2:15" ht="15" customHeight="1" thickBot="1">
      <c r="B26" s="49" t="s">
        <v>131</v>
      </c>
      <c r="C26" s="1144">
        <v>1138</v>
      </c>
      <c r="D26" s="1207">
        <v>1106</v>
      </c>
      <c r="E26" s="1268">
        <v>1092</v>
      </c>
      <c r="F26" s="43">
        <v>1074</v>
      </c>
      <c r="G26" s="43">
        <v>1056</v>
      </c>
      <c r="H26" s="43">
        <v>1036</v>
      </c>
      <c r="I26" s="43">
        <v>1057</v>
      </c>
      <c r="J26" s="43">
        <v>1010</v>
      </c>
      <c r="K26" s="43">
        <v>994</v>
      </c>
      <c r="L26" s="43">
        <v>945</v>
      </c>
      <c r="M26" s="259"/>
      <c r="N26" s="259"/>
      <c r="O26" s="259"/>
    </row>
    <row r="27" spans="2:15" ht="15" customHeight="1">
      <c r="B27" s="40" t="s">
        <v>70</v>
      </c>
      <c r="C27" s="1244">
        <v>9219</v>
      </c>
      <c r="D27" s="1401">
        <v>9307</v>
      </c>
      <c r="E27" s="1270">
        <v>9666</v>
      </c>
      <c r="F27" s="126">
        <v>9631</v>
      </c>
      <c r="G27" s="126">
        <v>9546</v>
      </c>
      <c r="H27" s="126">
        <v>9474</v>
      </c>
      <c r="I27" s="126">
        <v>9469</v>
      </c>
      <c r="J27" s="126">
        <v>9220</v>
      </c>
      <c r="K27" s="126">
        <v>8832</v>
      </c>
      <c r="L27" s="126">
        <v>8316</v>
      </c>
      <c r="M27" s="259"/>
      <c r="N27" s="259"/>
      <c r="O27" s="259"/>
    </row>
    <row r="28" spans="2:15" ht="15" customHeight="1">
      <c r="B28" s="127" t="s">
        <v>52</v>
      </c>
      <c r="C28" s="1244">
        <v>13963</v>
      </c>
      <c r="D28" s="1244">
        <v>14033</v>
      </c>
      <c r="E28" s="110">
        <v>14466</v>
      </c>
      <c r="F28" s="73">
        <v>14520</v>
      </c>
      <c r="G28" s="73">
        <v>14455</v>
      </c>
      <c r="H28" s="73">
        <v>14374</v>
      </c>
      <c r="I28" s="73">
        <v>14335</v>
      </c>
      <c r="J28" s="73">
        <v>14409</v>
      </c>
      <c r="K28" s="73">
        <v>13864</v>
      </c>
      <c r="L28" s="73">
        <v>13304</v>
      </c>
      <c r="M28" s="259"/>
      <c r="N28" s="259"/>
      <c r="O28" s="259"/>
    </row>
    <row r="29" spans="2:15">
      <c r="B29" s="10" t="s">
        <v>2032</v>
      </c>
      <c r="C29" s="10"/>
      <c r="D29" s="23"/>
      <c r="E29" s="23"/>
      <c r="F29" s="23"/>
      <c r="G29" s="23"/>
      <c r="H29" s="23"/>
      <c r="I29" s="23"/>
      <c r="J29" s="23"/>
      <c r="N29" s="223"/>
    </row>
    <row r="30" spans="2:15">
      <c r="B30" s="10"/>
      <c r="C30" s="10">
        <f>E8+E22+E23+E24+E25+E26</f>
        <v>4800</v>
      </c>
      <c r="D30" s="23"/>
      <c r="E30" s="23"/>
      <c r="F30" s="23"/>
      <c r="G30" s="23"/>
      <c r="H30" s="23"/>
      <c r="I30" s="23"/>
      <c r="J30" s="23"/>
    </row>
    <row r="31" spans="2:15" ht="15.6">
      <c r="B31" s="83" t="s">
        <v>134</v>
      </c>
      <c r="C31" s="83"/>
      <c r="H31" s="205"/>
    </row>
    <row r="32" spans="2:15">
      <c r="B32" s="93" t="s">
        <v>392</v>
      </c>
      <c r="C32" s="93"/>
    </row>
    <row r="33" spans="2:12">
      <c r="B33" s="194"/>
      <c r="C33" s="85">
        <v>2023</v>
      </c>
      <c r="D33" s="85">
        <v>2022</v>
      </c>
      <c r="E33" s="85">
        <v>2021</v>
      </c>
      <c r="F33" s="85">
        <v>2020</v>
      </c>
      <c r="G33" s="85">
        <v>2019</v>
      </c>
      <c r="H33" s="85">
        <v>2018</v>
      </c>
      <c r="I33" s="85">
        <v>2017</v>
      </c>
      <c r="J33" s="85">
        <v>2016</v>
      </c>
      <c r="K33" s="85">
        <v>2015</v>
      </c>
      <c r="L33" s="85">
        <v>2014</v>
      </c>
    </row>
    <row r="34" spans="2:12" ht="15" thickBot="1">
      <c r="B34" s="84" t="s">
        <v>115</v>
      </c>
      <c r="C34" s="1143">
        <v>13768</v>
      </c>
      <c r="D34" s="1168" t="s">
        <v>2033</v>
      </c>
      <c r="E34" s="44">
        <v>14043</v>
      </c>
      <c r="F34" s="44">
        <v>15812</v>
      </c>
      <c r="G34" s="44">
        <v>15352</v>
      </c>
      <c r="H34" s="44">
        <v>14719</v>
      </c>
      <c r="I34" s="44">
        <v>15503</v>
      </c>
      <c r="J34" s="44">
        <v>16071.737999999999</v>
      </c>
      <c r="K34" s="44">
        <v>17080.97</v>
      </c>
      <c r="L34" s="44">
        <v>17077.363000000001</v>
      </c>
    </row>
    <row r="35" spans="2:12" ht="15" thickBot="1">
      <c r="B35" s="84" t="s">
        <v>211</v>
      </c>
      <c r="C35" s="1143">
        <v>1405</v>
      </c>
      <c r="D35" s="1140">
        <v>1407</v>
      </c>
      <c r="E35" s="44">
        <v>1475</v>
      </c>
      <c r="F35" s="44">
        <v>1761</v>
      </c>
      <c r="G35" s="44">
        <v>1813</v>
      </c>
      <c r="H35" s="44">
        <v>2108</v>
      </c>
      <c r="I35" s="44">
        <v>2263</v>
      </c>
      <c r="J35" s="44">
        <v>2718.7350000000001</v>
      </c>
      <c r="K35" s="44">
        <v>3235.34</v>
      </c>
      <c r="L35" s="44">
        <v>3640.3180000000002</v>
      </c>
    </row>
    <row r="36" spans="2:12" ht="15" thickBot="1">
      <c r="B36" s="84" t="s">
        <v>114</v>
      </c>
      <c r="C36" s="1143">
        <v>6838</v>
      </c>
      <c r="D36" s="1140">
        <v>6456</v>
      </c>
      <c r="E36" s="44">
        <v>6131</v>
      </c>
      <c r="F36" s="44">
        <v>6801</v>
      </c>
      <c r="G36" s="44">
        <v>5829</v>
      </c>
      <c r="H36" s="44">
        <v>5567</v>
      </c>
      <c r="I36" s="44">
        <v>5983</v>
      </c>
      <c r="J36" s="44">
        <v>6339.7929999999997</v>
      </c>
      <c r="K36" s="44">
        <v>6214.018</v>
      </c>
      <c r="L36" s="44">
        <v>5912.8720000000003</v>
      </c>
    </row>
    <row r="37" spans="2:12" ht="15" thickBot="1">
      <c r="B37" s="84" t="s">
        <v>125</v>
      </c>
      <c r="C37" s="1143">
        <v>375</v>
      </c>
      <c r="D37" s="1140">
        <v>429</v>
      </c>
      <c r="E37" s="44">
        <v>496</v>
      </c>
      <c r="F37" s="44">
        <v>659</v>
      </c>
      <c r="G37" s="44">
        <v>828</v>
      </c>
      <c r="H37" s="44">
        <v>796</v>
      </c>
      <c r="I37" s="44">
        <v>940</v>
      </c>
      <c r="J37" s="44">
        <v>851.85599999999999</v>
      </c>
      <c r="K37" s="44">
        <v>785.38</v>
      </c>
      <c r="L37" s="44">
        <v>885.774</v>
      </c>
    </row>
    <row r="38" spans="2:12" ht="15" thickBot="1">
      <c r="B38" s="84" t="s">
        <v>448</v>
      </c>
      <c r="C38" s="1143">
        <v>4704</v>
      </c>
      <c r="D38" s="1140">
        <v>4546</v>
      </c>
      <c r="E38" s="44">
        <v>4781</v>
      </c>
      <c r="F38" s="44">
        <v>4763</v>
      </c>
      <c r="G38" s="44">
        <v>5110</v>
      </c>
      <c r="H38" s="44">
        <v>5119</v>
      </c>
      <c r="I38" s="44">
        <v>5282</v>
      </c>
      <c r="J38" s="44">
        <v>4986.7790000000005</v>
      </c>
      <c r="K38" s="44">
        <v>5531.78</v>
      </c>
      <c r="L38" s="44">
        <v>5736.46</v>
      </c>
    </row>
    <row r="39" spans="2:12" ht="15" thickBot="1">
      <c r="B39" s="84" t="s">
        <v>113</v>
      </c>
      <c r="C39" s="1143">
        <v>6011</v>
      </c>
      <c r="D39" s="1140">
        <v>5989</v>
      </c>
      <c r="E39" s="44">
        <v>5737</v>
      </c>
      <c r="F39" s="44">
        <v>6345</v>
      </c>
      <c r="G39" s="44">
        <v>6912</v>
      </c>
      <c r="H39" s="44">
        <v>7484</v>
      </c>
      <c r="I39" s="44">
        <v>7575</v>
      </c>
      <c r="J39" s="44">
        <v>7600.9219999999996</v>
      </c>
      <c r="K39" s="44">
        <v>8105.4570000000003</v>
      </c>
      <c r="L39" s="44">
        <v>9525.1380000000008</v>
      </c>
    </row>
    <row r="40" spans="2:12" ht="15" thickBot="1">
      <c r="B40" s="84" t="s">
        <v>121</v>
      </c>
      <c r="C40" s="1143">
        <v>2824</v>
      </c>
      <c r="D40" s="1140">
        <v>2865</v>
      </c>
      <c r="E40" s="44">
        <v>2789</v>
      </c>
      <c r="F40" s="44">
        <v>2952</v>
      </c>
      <c r="G40" s="44">
        <v>3336</v>
      </c>
      <c r="H40" s="44">
        <v>3399</v>
      </c>
      <c r="I40" s="44">
        <v>3694</v>
      </c>
      <c r="J40" s="44">
        <v>3327.029</v>
      </c>
      <c r="K40" s="44">
        <v>3967.9879999999998</v>
      </c>
      <c r="L40" s="44">
        <v>4213.5379999999996</v>
      </c>
    </row>
    <row r="41" spans="2:12" ht="15" thickBot="1">
      <c r="B41" s="84" t="s">
        <v>117</v>
      </c>
      <c r="C41" s="1143">
        <v>1327</v>
      </c>
      <c r="D41" s="1140">
        <v>1759</v>
      </c>
      <c r="E41" s="44">
        <v>2370</v>
      </c>
      <c r="F41" s="44">
        <v>2150</v>
      </c>
      <c r="G41" s="44">
        <v>2410</v>
      </c>
      <c r="H41" s="44">
        <v>2243</v>
      </c>
      <c r="I41" s="44">
        <v>2335</v>
      </c>
      <c r="J41" s="44">
        <v>2472.52</v>
      </c>
      <c r="K41" s="44">
        <v>2619.4540000000002</v>
      </c>
      <c r="L41" s="44">
        <v>3041.953</v>
      </c>
    </row>
    <row r="42" spans="2:12" ht="15" thickBot="1">
      <c r="B42" s="84" t="s">
        <v>116</v>
      </c>
      <c r="C42" s="1143">
        <v>4530</v>
      </c>
      <c r="D42" s="1140">
        <v>4889</v>
      </c>
      <c r="E42" s="44">
        <v>4420</v>
      </c>
      <c r="F42" s="44">
        <v>4955</v>
      </c>
      <c r="G42" s="44">
        <v>5405</v>
      </c>
      <c r="H42" s="44">
        <v>5665</v>
      </c>
      <c r="I42" s="44">
        <v>5376</v>
      </c>
      <c r="J42" s="44">
        <v>5719.4750000000004</v>
      </c>
      <c r="K42" s="44">
        <v>6746.23</v>
      </c>
      <c r="L42" s="44">
        <v>6536.85</v>
      </c>
    </row>
    <row r="43" spans="2:12" ht="15" thickBot="1">
      <c r="B43" s="84" t="s">
        <v>126</v>
      </c>
      <c r="C43" s="1143">
        <v>2066</v>
      </c>
      <c r="D43" s="1140">
        <v>1962</v>
      </c>
      <c r="E43" s="44">
        <v>2243</v>
      </c>
      <c r="F43" s="44">
        <v>2377</v>
      </c>
      <c r="G43" s="44">
        <v>2167</v>
      </c>
      <c r="H43" s="44">
        <v>2138</v>
      </c>
      <c r="I43" s="44">
        <v>1649</v>
      </c>
      <c r="J43" s="44">
        <v>2471.8440000000001</v>
      </c>
      <c r="K43" s="44">
        <v>2581.3719999999998</v>
      </c>
      <c r="L43" s="44">
        <v>2939.63</v>
      </c>
    </row>
    <row r="44" spans="2:12" ht="15" thickBot="1">
      <c r="B44" s="84" t="s">
        <v>127</v>
      </c>
      <c r="C44" s="1143">
        <v>8</v>
      </c>
      <c r="D44" s="1140">
        <v>12</v>
      </c>
      <c r="E44" s="44">
        <v>47</v>
      </c>
      <c r="F44" s="44">
        <v>83</v>
      </c>
      <c r="G44" s="44">
        <v>163</v>
      </c>
      <c r="H44" s="44">
        <v>154</v>
      </c>
      <c r="I44" s="44">
        <v>151</v>
      </c>
      <c r="J44" s="44">
        <v>520.61099999999999</v>
      </c>
      <c r="K44" s="44">
        <v>512.34500000000003</v>
      </c>
      <c r="L44" s="44">
        <v>468.47399999999999</v>
      </c>
    </row>
    <row r="45" spans="2:12" ht="15" thickBot="1">
      <c r="B45" s="84" t="s">
        <v>128</v>
      </c>
      <c r="C45" s="1143">
        <v>515</v>
      </c>
      <c r="D45" s="1140">
        <v>520</v>
      </c>
      <c r="E45" s="44">
        <v>509</v>
      </c>
      <c r="F45" s="44">
        <v>586</v>
      </c>
      <c r="G45" s="44">
        <v>601</v>
      </c>
      <c r="H45" s="44">
        <v>574</v>
      </c>
      <c r="I45" s="44">
        <v>555</v>
      </c>
      <c r="J45" s="44">
        <v>605.85900000000004</v>
      </c>
      <c r="K45" s="44">
        <v>506.54</v>
      </c>
      <c r="L45" s="44">
        <v>359.20699999999999</v>
      </c>
    </row>
    <row r="46" spans="2:12">
      <c r="B46" s="97" t="s">
        <v>129</v>
      </c>
      <c r="C46" s="1166">
        <v>14964</v>
      </c>
      <c r="D46" s="1266">
        <v>15296</v>
      </c>
      <c r="E46" s="109">
        <v>15888</v>
      </c>
      <c r="F46" s="109" t="s">
        <v>1767</v>
      </c>
      <c r="G46" s="109" t="s">
        <v>1768</v>
      </c>
      <c r="H46" s="109" t="s">
        <v>1769</v>
      </c>
      <c r="I46" s="109" t="s">
        <v>1770</v>
      </c>
      <c r="J46" s="109" t="s">
        <v>1771</v>
      </c>
      <c r="K46" s="109">
        <v>17412</v>
      </c>
      <c r="L46" s="109" t="s">
        <v>1772</v>
      </c>
    </row>
    <row r="47" spans="2:12">
      <c r="B47" s="127" t="s">
        <v>393</v>
      </c>
      <c r="C47" s="1244">
        <v>59335</v>
      </c>
      <c r="D47" s="1244">
        <v>60519</v>
      </c>
      <c r="E47" s="73">
        <f>E46+E45+E44+E43+E42+E41+E40+E39+E38+E37+E35+E36+E34</f>
        <v>60929</v>
      </c>
      <c r="F47" s="73">
        <v>65680</v>
      </c>
      <c r="G47" s="73">
        <v>66803</v>
      </c>
      <c r="H47" s="73">
        <v>66957</v>
      </c>
      <c r="I47" s="73">
        <v>67662</v>
      </c>
      <c r="J47" s="110">
        <v>72460</v>
      </c>
      <c r="K47" s="110">
        <v>75299</v>
      </c>
      <c r="L47" s="110">
        <v>76745.811000000002</v>
      </c>
    </row>
    <row r="48" spans="2:12">
      <c r="B48" s="10" t="s">
        <v>2032</v>
      </c>
      <c r="C48" s="10"/>
    </row>
  </sheetData>
  <hyperlinks>
    <hyperlink ref="B29" r:id="rId1" display="Source: Chinese Taipei Council of Agriculture, Yearly Report, 2023" xr:uid="{00000000-0004-0000-0700-000000000000}"/>
    <hyperlink ref="B48" r:id="rId2" display="Source: Chinese Taipei Council of Agriculture, Yearly Report, 2023" xr:uid="{2FBCDC35-E873-456E-B1C4-F72D64D6A97A}"/>
  </hyperlinks>
  <pageMargins left="0.7" right="0.7" top="0.78740157499999996" bottom="0.78740157499999996" header="0.3" footer="0.3"/>
  <pageSetup paperSize="9" orientation="portrait" r:id="rId3"/>
  <legacy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B2:P224"/>
  <sheetViews>
    <sheetView topLeftCell="A94" zoomScale="110" zoomScaleNormal="110" workbookViewId="0">
      <selection activeCell="L144" sqref="L144"/>
    </sheetView>
  </sheetViews>
  <sheetFormatPr defaultColWidth="11.44140625" defaultRowHeight="14.4"/>
  <cols>
    <col min="2" max="2" width="29.33203125" customWidth="1"/>
    <col min="3" max="8" width="11.44140625" customWidth="1"/>
    <col min="9" max="9" width="11.5546875" customWidth="1"/>
  </cols>
  <sheetData>
    <row r="2" spans="2:4" ht="15.6">
      <c r="B2" s="83" t="s">
        <v>711</v>
      </c>
    </row>
    <row r="3" spans="2:4" ht="15.6">
      <c r="B3" s="83"/>
    </row>
    <row r="4" spans="2:4" ht="15.6">
      <c r="B4" s="83" t="s">
        <v>1956</v>
      </c>
    </row>
    <row r="5" spans="2:4" ht="15.6">
      <c r="B5" s="83"/>
    </row>
    <row r="6" spans="2:4" ht="15" customHeight="1">
      <c r="B6" s="13" t="s">
        <v>530</v>
      </c>
      <c r="C6" s="239">
        <v>52.9</v>
      </c>
      <c r="D6" s="240" t="s">
        <v>531</v>
      </c>
    </row>
    <row r="7" spans="2:4">
      <c r="B7" s="13" t="s">
        <v>532</v>
      </c>
      <c r="C7" s="241">
        <v>1140600</v>
      </c>
      <c r="D7" s="240" t="s">
        <v>533</v>
      </c>
    </row>
    <row r="8" spans="2:4" ht="26.4">
      <c r="B8" s="242" t="s">
        <v>534</v>
      </c>
      <c r="C8" s="243">
        <v>47</v>
      </c>
      <c r="D8" s="244" t="s">
        <v>535</v>
      </c>
    </row>
    <row r="9" spans="2:4" ht="15" customHeight="1">
      <c r="B9" s="245"/>
      <c r="C9" s="246"/>
      <c r="D9" s="240"/>
    </row>
    <row r="10" spans="2:4" ht="15.6">
      <c r="B10" s="13" t="s">
        <v>536</v>
      </c>
      <c r="C10" s="247">
        <v>373</v>
      </c>
      <c r="D10" s="240" t="s">
        <v>537</v>
      </c>
    </row>
    <row r="11" spans="2:4" ht="15" customHeight="1">
      <c r="B11" s="245" t="s">
        <v>538</v>
      </c>
      <c r="C11" s="246">
        <v>7040</v>
      </c>
      <c r="D11" s="240" t="s">
        <v>539</v>
      </c>
    </row>
    <row r="12" spans="2:4">
      <c r="B12" s="13" t="s">
        <v>540</v>
      </c>
      <c r="C12" s="247">
        <v>1114</v>
      </c>
      <c r="D12" s="240" t="s">
        <v>537</v>
      </c>
    </row>
    <row r="13" spans="2:4">
      <c r="B13" s="245" t="s">
        <v>541</v>
      </c>
      <c r="C13" s="246"/>
      <c r="D13" s="240"/>
    </row>
    <row r="14" spans="2:4" ht="26.4">
      <c r="B14" s="245" t="s">
        <v>538</v>
      </c>
      <c r="C14" s="246">
        <v>21060</v>
      </c>
      <c r="D14" s="240" t="s">
        <v>542</v>
      </c>
    </row>
    <row r="15" spans="2:4" ht="15" customHeight="1">
      <c r="B15" s="248"/>
      <c r="C15" s="249"/>
      <c r="D15" s="244"/>
    </row>
    <row r="16" spans="2:4">
      <c r="B16" s="13" t="s">
        <v>543</v>
      </c>
      <c r="C16" s="239">
        <v>1.7</v>
      </c>
      <c r="D16" s="240" t="s">
        <v>544</v>
      </c>
    </row>
    <row r="17" spans="2:13" ht="26.4">
      <c r="B17" s="13" t="s">
        <v>545</v>
      </c>
      <c r="C17" s="239">
        <v>0.7</v>
      </c>
      <c r="D17" s="240" t="s">
        <v>546</v>
      </c>
    </row>
    <row r="18" spans="2:13">
      <c r="B18" s="245"/>
      <c r="C18" s="246"/>
      <c r="D18" s="240"/>
    </row>
    <row r="19" spans="2:13">
      <c r="B19" s="250" t="s">
        <v>712</v>
      </c>
      <c r="C19" s="251"/>
      <c r="D19" s="251"/>
      <c r="E19" s="251"/>
    </row>
    <row r="20" spans="2:13">
      <c r="B20" s="252" t="s">
        <v>2415</v>
      </c>
      <c r="C20" s="253"/>
      <c r="D20" s="253"/>
      <c r="E20" s="82"/>
    </row>
    <row r="23" spans="2:13" ht="15.6">
      <c r="B23" s="83" t="s">
        <v>138</v>
      </c>
      <c r="C23" s="83"/>
      <c r="D23" s="83"/>
      <c r="E23" s="83"/>
      <c r="F23" s="83"/>
      <c r="G23" s="83"/>
      <c r="H23" s="83"/>
    </row>
    <row r="24" spans="2:13" ht="15.6">
      <c r="B24" s="93" t="s">
        <v>54</v>
      </c>
      <c r="C24" s="83"/>
      <c r="D24" s="83"/>
      <c r="E24" s="83"/>
      <c r="F24" s="83"/>
      <c r="G24" s="83"/>
      <c r="H24" s="83"/>
    </row>
    <row r="25" spans="2:13" ht="15.6">
      <c r="B25" s="316"/>
      <c r="C25" s="317">
        <v>2024</v>
      </c>
      <c r="D25" s="317">
        <v>2023</v>
      </c>
      <c r="E25" s="317">
        <v>2022</v>
      </c>
      <c r="F25" s="317" t="s">
        <v>1715</v>
      </c>
      <c r="G25" s="317">
        <v>2020</v>
      </c>
      <c r="H25" s="317">
        <v>2019</v>
      </c>
      <c r="I25" s="317">
        <v>2018</v>
      </c>
      <c r="J25" s="317">
        <v>2017</v>
      </c>
      <c r="K25" s="317">
        <v>2016</v>
      </c>
      <c r="L25" s="317">
        <v>2015</v>
      </c>
      <c r="M25" s="317">
        <v>2014</v>
      </c>
    </row>
    <row r="26" spans="2:13">
      <c r="B26" s="318" t="s">
        <v>138</v>
      </c>
      <c r="C26" s="1443">
        <v>10500</v>
      </c>
      <c r="D26" s="320">
        <v>10500</v>
      </c>
      <c r="E26" s="320">
        <v>10000</v>
      </c>
      <c r="F26" s="320">
        <v>8900</v>
      </c>
      <c r="G26" s="320" t="s">
        <v>59</v>
      </c>
      <c r="H26" s="320" t="s">
        <v>59</v>
      </c>
      <c r="I26" s="320">
        <v>7665</v>
      </c>
      <c r="J26" s="320">
        <v>7532</v>
      </c>
      <c r="K26" s="320">
        <v>6796</v>
      </c>
      <c r="L26" s="320">
        <v>7161</v>
      </c>
      <c r="M26" s="320">
        <v>6918</v>
      </c>
    </row>
    <row r="27" spans="2:13">
      <c r="B27" s="87" t="s">
        <v>2046</v>
      </c>
      <c r="C27" s="92"/>
      <c r="D27" s="92"/>
      <c r="E27" s="92"/>
      <c r="F27" s="92"/>
      <c r="G27" s="92"/>
      <c r="H27" s="92"/>
    </row>
    <row r="28" spans="2:13">
      <c r="B28" s="87" t="s">
        <v>1714</v>
      </c>
    </row>
    <row r="29" spans="2:13">
      <c r="B29" s="87"/>
      <c r="C29" s="87"/>
      <c r="D29" s="87"/>
      <c r="E29" s="87"/>
      <c r="F29" s="87"/>
      <c r="G29" s="87"/>
      <c r="H29" s="87"/>
    </row>
    <row r="32" spans="2:13" ht="15.6">
      <c r="B32" s="86" t="s">
        <v>138</v>
      </c>
    </row>
    <row r="33" spans="2:9" ht="15.6">
      <c r="B33" s="93" t="s">
        <v>137</v>
      </c>
      <c r="C33" s="321"/>
      <c r="D33" s="321"/>
      <c r="E33" s="321"/>
      <c r="F33" s="321"/>
      <c r="G33" s="321"/>
    </row>
    <row r="34" spans="2:9">
      <c r="B34" s="322"/>
      <c r="C34" s="323">
        <v>2024</v>
      </c>
      <c r="D34" s="323">
        <v>2023</v>
      </c>
      <c r="E34" s="323">
        <v>2022</v>
      </c>
      <c r="F34" s="323">
        <v>2018</v>
      </c>
      <c r="G34" s="323">
        <v>2017</v>
      </c>
      <c r="H34" s="323">
        <v>2016</v>
      </c>
      <c r="I34" s="323">
        <v>2015</v>
      </c>
    </row>
    <row r="35" spans="2:9">
      <c r="B35" s="322"/>
      <c r="C35" s="322"/>
      <c r="D35" s="322"/>
      <c r="E35" s="13"/>
      <c r="F35" s="13"/>
      <c r="G35" s="13"/>
      <c r="H35" s="13"/>
      <c r="I35" s="13"/>
    </row>
    <row r="36" spans="2:9">
      <c r="B36" s="324" t="s">
        <v>113</v>
      </c>
      <c r="C36" s="1273">
        <v>3230</v>
      </c>
      <c r="D36" s="1412">
        <v>3230</v>
      </c>
      <c r="E36" s="320">
        <v>3099</v>
      </c>
      <c r="F36" s="320">
        <v>2569</v>
      </c>
      <c r="G36" s="320">
        <v>2610</v>
      </c>
      <c r="H36" s="320">
        <v>2348</v>
      </c>
      <c r="I36" s="320">
        <v>2624</v>
      </c>
    </row>
    <row r="37" spans="2:9">
      <c r="B37" s="326" t="s">
        <v>713</v>
      </c>
      <c r="C37" s="1274">
        <v>1734</v>
      </c>
      <c r="D37" s="1405">
        <v>1734</v>
      </c>
      <c r="E37" s="328">
        <v>1643</v>
      </c>
      <c r="F37" s="328">
        <v>1573</v>
      </c>
      <c r="G37" s="328">
        <v>1479</v>
      </c>
      <c r="H37" s="328">
        <v>1155</v>
      </c>
      <c r="I37" s="328">
        <v>972</v>
      </c>
    </row>
    <row r="38" spans="2:9">
      <c r="B38" s="326" t="s">
        <v>714</v>
      </c>
      <c r="C38" s="1274">
        <v>1487</v>
      </c>
      <c r="D38" s="1405">
        <v>1487</v>
      </c>
      <c r="E38" s="328">
        <v>1436</v>
      </c>
      <c r="F38" s="328">
        <v>888</v>
      </c>
      <c r="G38" s="328">
        <v>909</v>
      </c>
      <c r="H38" s="328">
        <v>933</v>
      </c>
      <c r="I38" s="328">
        <v>1066</v>
      </c>
    </row>
    <row r="39" spans="2:9">
      <c r="B39" s="326" t="s">
        <v>715</v>
      </c>
      <c r="C39" s="1274">
        <v>1206</v>
      </c>
      <c r="D39" s="1405">
        <v>1206</v>
      </c>
      <c r="E39" s="328">
        <v>1164</v>
      </c>
      <c r="F39" s="328">
        <v>919</v>
      </c>
      <c r="G39" s="328">
        <v>889</v>
      </c>
      <c r="H39" s="328">
        <v>883</v>
      </c>
      <c r="I39" s="328">
        <v>859</v>
      </c>
    </row>
    <row r="40" spans="2:9">
      <c r="B40" s="326" t="s">
        <v>201</v>
      </c>
      <c r="C40" s="1274">
        <v>326</v>
      </c>
      <c r="D40" s="1405">
        <v>326</v>
      </c>
      <c r="E40" s="328">
        <v>393</v>
      </c>
      <c r="F40" s="328">
        <v>375</v>
      </c>
      <c r="G40" s="328">
        <v>389</v>
      </c>
      <c r="H40" s="328">
        <v>358</v>
      </c>
      <c r="I40" s="328">
        <v>332</v>
      </c>
    </row>
    <row r="41" spans="2:9">
      <c r="B41" s="326" t="s">
        <v>198</v>
      </c>
      <c r="C41" s="1274">
        <v>289</v>
      </c>
      <c r="D41" s="1405">
        <v>289</v>
      </c>
      <c r="E41" s="328" t="s">
        <v>59</v>
      </c>
      <c r="F41" s="328">
        <v>165</v>
      </c>
      <c r="G41" s="328">
        <v>144</v>
      </c>
      <c r="H41" s="328">
        <v>142</v>
      </c>
      <c r="I41" s="328">
        <v>161</v>
      </c>
    </row>
    <row r="42" spans="2:9">
      <c r="B42" s="326" t="s">
        <v>716</v>
      </c>
      <c r="C42" s="1274">
        <v>201</v>
      </c>
      <c r="D42" s="1405">
        <v>201</v>
      </c>
      <c r="E42" s="328" t="s">
        <v>59</v>
      </c>
      <c r="F42" s="328">
        <v>99</v>
      </c>
      <c r="G42" s="328">
        <v>92</v>
      </c>
      <c r="H42" s="328" t="s">
        <v>59</v>
      </c>
      <c r="I42" s="328" t="s">
        <v>59</v>
      </c>
    </row>
    <row r="43" spans="2:9">
      <c r="B43" s="326" t="s">
        <v>717</v>
      </c>
      <c r="C43" s="1274">
        <v>121</v>
      </c>
      <c r="D43" s="1405">
        <v>121</v>
      </c>
      <c r="E43" s="328" t="s">
        <v>59</v>
      </c>
      <c r="F43" s="328">
        <v>64</v>
      </c>
      <c r="G43" s="328">
        <v>63</v>
      </c>
      <c r="H43" s="328" t="s">
        <v>59</v>
      </c>
      <c r="I43" s="328" t="s">
        <v>59</v>
      </c>
    </row>
    <row r="44" spans="2:9">
      <c r="B44" s="326" t="s">
        <v>139</v>
      </c>
      <c r="C44" s="1274">
        <v>70</v>
      </c>
      <c r="D44" s="1405">
        <v>70</v>
      </c>
      <c r="E44" s="328" t="s">
        <v>59</v>
      </c>
      <c r="F44" s="328">
        <v>69</v>
      </c>
      <c r="G44" s="328">
        <v>57</v>
      </c>
      <c r="H44" s="328">
        <v>50</v>
      </c>
      <c r="I44" s="328">
        <v>50</v>
      </c>
    </row>
    <row r="45" spans="2:9">
      <c r="B45" s="326" t="s">
        <v>188</v>
      </c>
      <c r="C45" s="1274">
        <v>101</v>
      </c>
      <c r="D45" s="1405">
        <v>101</v>
      </c>
      <c r="E45" s="328" t="s">
        <v>59</v>
      </c>
      <c r="F45" s="328">
        <v>51</v>
      </c>
      <c r="G45" s="328">
        <v>55</v>
      </c>
      <c r="H45" s="328">
        <v>49</v>
      </c>
      <c r="I45" s="328">
        <v>50</v>
      </c>
    </row>
    <row r="46" spans="2:9">
      <c r="B46" s="326" t="s">
        <v>220</v>
      </c>
      <c r="C46" s="1274">
        <v>25</v>
      </c>
      <c r="D46" s="1405">
        <v>25</v>
      </c>
      <c r="E46" s="328" t="s">
        <v>59</v>
      </c>
      <c r="F46" s="328">
        <v>48</v>
      </c>
      <c r="G46" s="328">
        <v>47</v>
      </c>
      <c r="H46" s="328">
        <v>41</v>
      </c>
      <c r="I46" s="328">
        <v>50</v>
      </c>
    </row>
    <row r="47" spans="2:9">
      <c r="B47" s="326" t="s">
        <v>718</v>
      </c>
      <c r="C47" s="1274">
        <v>183</v>
      </c>
      <c r="D47" s="1405">
        <v>183</v>
      </c>
      <c r="E47" s="328" t="s">
        <v>59</v>
      </c>
      <c r="F47" s="328" t="s">
        <v>59</v>
      </c>
      <c r="G47" s="328">
        <v>46</v>
      </c>
      <c r="H47" s="328">
        <v>49</v>
      </c>
      <c r="I47" s="328">
        <v>66</v>
      </c>
    </row>
    <row r="48" spans="2:9">
      <c r="B48" s="326" t="s">
        <v>116</v>
      </c>
      <c r="C48" s="1274">
        <v>3</v>
      </c>
      <c r="D48" s="1405">
        <v>3</v>
      </c>
      <c r="E48" s="328" t="s">
        <v>59</v>
      </c>
      <c r="F48" s="328">
        <v>48</v>
      </c>
      <c r="G48" s="328">
        <v>46</v>
      </c>
      <c r="H48" s="328" t="s">
        <v>59</v>
      </c>
      <c r="I48" s="328" t="s">
        <v>59</v>
      </c>
    </row>
    <row r="49" spans="2:9">
      <c r="B49" s="326" t="s">
        <v>719</v>
      </c>
      <c r="C49" s="1274" t="s">
        <v>59</v>
      </c>
      <c r="D49" s="1405" t="s">
        <v>59</v>
      </c>
      <c r="E49" s="328" t="s">
        <v>59</v>
      </c>
      <c r="F49" s="328" t="s">
        <v>59</v>
      </c>
      <c r="G49" s="328" t="s">
        <v>59</v>
      </c>
      <c r="H49" s="328">
        <v>32</v>
      </c>
      <c r="I49" s="328">
        <v>63</v>
      </c>
    </row>
    <row r="50" spans="2:9">
      <c r="B50" s="326" t="s">
        <v>129</v>
      </c>
      <c r="C50" s="1274" t="s">
        <v>59</v>
      </c>
      <c r="D50" s="1405" t="s">
        <v>59</v>
      </c>
      <c r="E50" s="328" t="s">
        <v>59</v>
      </c>
      <c r="F50" s="328">
        <v>799</v>
      </c>
      <c r="G50" s="328">
        <v>705</v>
      </c>
      <c r="H50" s="328">
        <v>755</v>
      </c>
      <c r="I50" s="328">
        <v>822</v>
      </c>
    </row>
    <row r="51" spans="2:9">
      <c r="B51" s="329" t="s">
        <v>52</v>
      </c>
      <c r="C51" s="1413">
        <v>10500</v>
      </c>
      <c r="D51" s="329" t="s">
        <v>1938</v>
      </c>
      <c r="E51" s="330">
        <v>10000</v>
      </c>
      <c r="F51" s="330">
        <v>7665</v>
      </c>
      <c r="G51" s="330">
        <v>7532</v>
      </c>
      <c r="H51" s="330">
        <v>6796</v>
      </c>
      <c r="I51" s="330">
        <v>7161</v>
      </c>
    </row>
    <row r="52" spans="2:9">
      <c r="B52" s="87" t="s">
        <v>2046</v>
      </c>
      <c r="C52" s="23"/>
      <c r="D52" s="23"/>
      <c r="E52" s="23"/>
      <c r="F52" s="23"/>
      <c r="G52" s="23"/>
    </row>
    <row r="57" spans="2:9">
      <c r="I57" t="s">
        <v>0</v>
      </c>
    </row>
    <row r="58" spans="2:9">
      <c r="H58" t="s">
        <v>372</v>
      </c>
      <c r="I58">
        <v>10500</v>
      </c>
    </row>
    <row r="59" spans="2:9">
      <c r="H59" t="s">
        <v>720</v>
      </c>
      <c r="I59" s="134">
        <v>3230</v>
      </c>
    </row>
    <row r="60" spans="2:9">
      <c r="H60" t="s">
        <v>713</v>
      </c>
      <c r="I60" s="134">
        <v>1734</v>
      </c>
    </row>
    <row r="61" spans="2:9">
      <c r="H61" t="s">
        <v>115</v>
      </c>
      <c r="I61" s="134">
        <v>1206</v>
      </c>
    </row>
    <row r="62" spans="2:9">
      <c r="H62" t="s">
        <v>117</v>
      </c>
      <c r="I62" s="134">
        <v>1487</v>
      </c>
    </row>
    <row r="63" spans="2:9">
      <c r="H63" t="s">
        <v>201</v>
      </c>
      <c r="I63" s="134">
        <v>326</v>
      </c>
    </row>
    <row r="64" spans="2:9">
      <c r="H64" t="s">
        <v>129</v>
      </c>
      <c r="I64" s="134">
        <v>2517</v>
      </c>
    </row>
    <row r="76" spans="2:2" ht="15.6">
      <c r="B76" s="86" t="s">
        <v>2016</v>
      </c>
    </row>
    <row r="79" spans="2:2">
      <c r="B79" t="s">
        <v>596</v>
      </c>
    </row>
    <row r="80" spans="2:2">
      <c r="B80" t="s">
        <v>721</v>
      </c>
    </row>
    <row r="81" spans="2:4">
      <c r="B81" t="s">
        <v>2047</v>
      </c>
    </row>
    <row r="83" spans="2:4">
      <c r="B83" s="331" t="s">
        <v>106</v>
      </c>
      <c r="C83" s="1561" t="s">
        <v>668</v>
      </c>
      <c r="D83" s="1561"/>
    </row>
    <row r="84" spans="2:4">
      <c r="B84" s="317"/>
      <c r="C84" s="317" t="s">
        <v>722</v>
      </c>
      <c r="D84" s="317" t="s">
        <v>574</v>
      </c>
    </row>
    <row r="85" spans="2:4">
      <c r="B85" s="317"/>
      <c r="C85" s="317"/>
      <c r="D85" s="317"/>
    </row>
    <row r="86" spans="2:4">
      <c r="B86" s="332" t="s">
        <v>52</v>
      </c>
      <c r="C86" s="333">
        <v>10500</v>
      </c>
      <c r="D86" s="333">
        <v>100</v>
      </c>
    </row>
    <row r="87" spans="2:4">
      <c r="B87" s="326" t="s">
        <v>723</v>
      </c>
      <c r="C87" s="320">
        <v>7408</v>
      </c>
      <c r="D87" s="320">
        <f>C87/$C$86*100</f>
        <v>70.552380952380958</v>
      </c>
    </row>
    <row r="88" spans="2:4">
      <c r="B88" s="324" t="s">
        <v>724</v>
      </c>
      <c r="C88" s="320">
        <v>2904</v>
      </c>
      <c r="D88" s="320">
        <f>C88/$C$86*100</f>
        <v>27.657142857142858</v>
      </c>
    </row>
    <row r="89" spans="2:4">
      <c r="B89" s="326" t="s">
        <v>725</v>
      </c>
      <c r="C89" s="320">
        <v>25</v>
      </c>
      <c r="D89" s="320" t="s">
        <v>726</v>
      </c>
    </row>
    <row r="90" spans="2:4">
      <c r="B90" s="326" t="s">
        <v>727</v>
      </c>
      <c r="C90" s="320">
        <v>108</v>
      </c>
      <c r="D90" s="320" t="s">
        <v>726</v>
      </c>
    </row>
    <row r="91" spans="2:4">
      <c r="B91" s="326" t="s">
        <v>728</v>
      </c>
      <c r="C91" s="320">
        <v>39</v>
      </c>
      <c r="D91" s="320" t="s">
        <v>726</v>
      </c>
    </row>
    <row r="92" spans="2:4">
      <c r="B92" s="326" t="s">
        <v>729</v>
      </c>
      <c r="C92" s="320">
        <v>10</v>
      </c>
      <c r="D92" s="320" t="s">
        <v>726</v>
      </c>
    </row>
    <row r="93" spans="2:4">
      <c r="B93" s="326" t="s">
        <v>730</v>
      </c>
      <c r="C93" s="320">
        <v>3</v>
      </c>
      <c r="D93" s="320" t="s">
        <v>726</v>
      </c>
    </row>
    <row r="94" spans="2:4">
      <c r="C94" s="23"/>
    </row>
    <row r="95" spans="2:4">
      <c r="B95" s="77" t="s">
        <v>2048</v>
      </c>
    </row>
    <row r="98" spans="2:15" ht="15.6">
      <c r="B98" s="86" t="s">
        <v>731</v>
      </c>
    </row>
    <row r="99" spans="2:15">
      <c r="B99" s="81" t="s">
        <v>587</v>
      </c>
    </row>
    <row r="100" spans="2:15">
      <c r="B100" s="290" t="s">
        <v>732</v>
      </c>
    </row>
    <row r="101" spans="2:15">
      <c r="B101" s="312"/>
      <c r="C101" s="298">
        <v>2024</v>
      </c>
      <c r="D101" s="298">
        <v>2023</v>
      </c>
      <c r="E101" s="298">
        <v>2022</v>
      </c>
      <c r="F101" s="298">
        <v>2021</v>
      </c>
      <c r="G101" s="298">
        <v>2020</v>
      </c>
      <c r="H101" s="298">
        <v>2019</v>
      </c>
      <c r="I101" s="298">
        <v>2018</v>
      </c>
      <c r="J101" s="298">
        <v>2017</v>
      </c>
      <c r="K101" s="298">
        <v>2016</v>
      </c>
      <c r="L101" s="298">
        <v>2015</v>
      </c>
      <c r="M101" s="298">
        <v>2014</v>
      </c>
      <c r="N101" s="56"/>
      <c r="O101" s="56"/>
    </row>
    <row r="102" spans="2:15" ht="21" thickBot="1">
      <c r="B102" s="334" t="s">
        <v>583</v>
      </c>
      <c r="C102" s="1147">
        <v>2169448</v>
      </c>
      <c r="D102" s="335">
        <v>1923457</v>
      </c>
      <c r="E102" s="335">
        <v>1960721</v>
      </c>
      <c r="F102" s="335">
        <v>1460060</v>
      </c>
      <c r="G102" s="335">
        <v>1235985</v>
      </c>
      <c r="H102" s="335">
        <v>1317400</v>
      </c>
      <c r="I102" s="336">
        <v>1234716</v>
      </c>
      <c r="J102" s="336">
        <v>1238914</v>
      </c>
      <c r="K102" s="336">
        <v>1185712</v>
      </c>
      <c r="L102" s="336">
        <v>1167555.4583145599</v>
      </c>
      <c r="M102" s="336">
        <v>1034439</v>
      </c>
      <c r="N102" s="39"/>
      <c r="O102" s="39"/>
    </row>
    <row r="103" spans="2:15" ht="15" thickBot="1">
      <c r="B103" s="337" t="s">
        <v>733</v>
      </c>
      <c r="C103" s="1147">
        <v>24380</v>
      </c>
      <c r="D103" s="335">
        <v>22897</v>
      </c>
      <c r="E103" s="338">
        <v>19513</v>
      </c>
      <c r="F103" s="338">
        <v>16287</v>
      </c>
      <c r="G103" s="338">
        <v>11051</v>
      </c>
      <c r="H103" s="338">
        <v>12027</v>
      </c>
      <c r="I103" s="339">
        <v>10495</v>
      </c>
      <c r="J103" s="339">
        <v>9613</v>
      </c>
      <c r="K103" s="339">
        <v>9625</v>
      </c>
      <c r="L103" s="339">
        <v>7687</v>
      </c>
      <c r="M103" s="339">
        <v>6078</v>
      </c>
      <c r="N103" s="39"/>
      <c r="O103" s="39"/>
    </row>
    <row r="104" spans="2:15" ht="15" thickBot="1">
      <c r="B104" s="340" t="s">
        <v>585</v>
      </c>
      <c r="C104" s="1147">
        <v>10804</v>
      </c>
      <c r="D104" s="335">
        <v>9457</v>
      </c>
      <c r="E104" s="341">
        <v>9683</v>
      </c>
      <c r="F104" s="341">
        <v>8106</v>
      </c>
      <c r="G104" s="341">
        <v>7000</v>
      </c>
      <c r="H104" s="341">
        <v>6561</v>
      </c>
      <c r="I104" s="342">
        <v>6191</v>
      </c>
      <c r="J104" s="342">
        <v>5902</v>
      </c>
      <c r="K104" s="342">
        <v>5080</v>
      </c>
      <c r="L104" s="342">
        <v>4195</v>
      </c>
      <c r="M104" s="342">
        <v>2851</v>
      </c>
      <c r="N104" s="39"/>
      <c r="O104" s="39"/>
    </row>
    <row r="105" spans="2:15" ht="15" thickBot="1">
      <c r="B105" s="343" t="s">
        <v>584</v>
      </c>
      <c r="C105" s="1147">
        <v>97</v>
      </c>
      <c r="D105" s="335">
        <v>1</v>
      </c>
      <c r="E105" s="344">
        <v>0</v>
      </c>
      <c r="F105" s="344">
        <v>0</v>
      </c>
      <c r="G105" s="344">
        <v>18</v>
      </c>
      <c r="H105" s="344">
        <v>2</v>
      </c>
      <c r="I105" s="345">
        <v>1</v>
      </c>
      <c r="J105" s="345">
        <v>0</v>
      </c>
      <c r="K105" s="345">
        <v>0</v>
      </c>
      <c r="L105" s="346">
        <v>0</v>
      </c>
      <c r="M105" s="346">
        <v>1</v>
      </c>
      <c r="N105" s="39"/>
      <c r="O105" s="39"/>
    </row>
    <row r="106" spans="2:15">
      <c r="B106" s="347" t="s">
        <v>52</v>
      </c>
      <c r="C106" s="1139">
        <f>C102+C103+C104+C105</f>
        <v>2204729</v>
      </c>
      <c r="D106" s="1139">
        <f>D102+D103+D104+D105</f>
        <v>1955812</v>
      </c>
      <c r="E106" s="1139">
        <f>E102+E103+E104+E105</f>
        <v>1989917</v>
      </c>
      <c r="F106" s="347">
        <v>1484453</v>
      </c>
      <c r="G106" s="347">
        <v>1254054</v>
      </c>
      <c r="H106" s="347">
        <v>1335990</v>
      </c>
      <c r="I106" s="347">
        <v>1251403</v>
      </c>
      <c r="J106" s="347">
        <v>1254429</v>
      </c>
      <c r="K106" s="347">
        <v>1200417</v>
      </c>
      <c r="L106" s="347">
        <v>1179439.4583145562</v>
      </c>
      <c r="M106" s="347">
        <v>1043368</v>
      </c>
      <c r="N106" s="1146"/>
      <c r="O106" s="207"/>
    </row>
    <row r="107" spans="2:15">
      <c r="B107" s="348" t="s">
        <v>2018</v>
      </c>
      <c r="C107" s="182"/>
      <c r="D107" s="182"/>
      <c r="E107" s="182"/>
      <c r="F107" s="182"/>
      <c r="G107" s="182"/>
      <c r="H107" s="182"/>
      <c r="I107" s="182"/>
      <c r="J107" s="349"/>
      <c r="K107" s="182"/>
      <c r="L107" s="182"/>
      <c r="M107" s="182"/>
      <c r="N107" s="182"/>
    </row>
    <row r="108" spans="2:15">
      <c r="B108" s="348"/>
      <c r="C108" s="350"/>
      <c r="D108" s="350"/>
      <c r="E108" s="350"/>
      <c r="F108" s="350"/>
      <c r="G108" s="350"/>
      <c r="H108" s="350"/>
      <c r="I108" s="350"/>
      <c r="J108" s="350"/>
      <c r="K108" s="350"/>
      <c r="L108" s="350"/>
      <c r="M108" s="350"/>
      <c r="N108" s="182"/>
    </row>
    <row r="109" spans="2:15">
      <c r="B109" s="81" t="s">
        <v>587</v>
      </c>
      <c r="C109" s="139"/>
      <c r="D109" s="139"/>
      <c r="J109" s="134"/>
    </row>
    <row r="110" spans="2:15">
      <c r="B110" s="290" t="s">
        <v>734</v>
      </c>
      <c r="J110" s="134"/>
    </row>
    <row r="111" spans="2:15">
      <c r="B111" s="298"/>
      <c r="C111" s="298">
        <v>2024</v>
      </c>
      <c r="D111" s="298">
        <v>2023</v>
      </c>
      <c r="E111" s="298">
        <v>2022</v>
      </c>
      <c r="F111" s="298">
        <v>2021</v>
      </c>
      <c r="G111" s="298">
        <v>2020</v>
      </c>
      <c r="H111" s="298">
        <v>2019</v>
      </c>
      <c r="I111" s="298">
        <v>2018</v>
      </c>
      <c r="J111" s="298">
        <v>2017</v>
      </c>
      <c r="K111" s="298">
        <v>2016</v>
      </c>
      <c r="L111" s="298">
        <v>2015</v>
      </c>
      <c r="M111" s="298">
        <v>2014</v>
      </c>
      <c r="N111" s="56"/>
      <c r="O111" s="56"/>
    </row>
    <row r="112" spans="2:15" ht="21" thickBot="1">
      <c r="B112" s="334" t="s">
        <v>583</v>
      </c>
      <c r="C112" s="1147">
        <v>329706</v>
      </c>
      <c r="D112" s="335">
        <v>306623</v>
      </c>
      <c r="E112" s="335">
        <v>316974</v>
      </c>
      <c r="F112" s="335">
        <v>295801</v>
      </c>
      <c r="G112" s="335">
        <v>247646</v>
      </c>
      <c r="H112" s="335">
        <v>258473</v>
      </c>
      <c r="I112" s="335">
        <v>257377</v>
      </c>
      <c r="J112" s="336">
        <v>246118</v>
      </c>
      <c r="K112" s="336">
        <v>234938</v>
      </c>
      <c r="L112" s="336">
        <v>222356</v>
      </c>
      <c r="M112" s="336">
        <v>222566</v>
      </c>
      <c r="N112" s="39"/>
      <c r="O112" s="39"/>
    </row>
    <row r="113" spans="2:15" ht="15" thickBot="1">
      <c r="B113" s="337" t="s">
        <v>733</v>
      </c>
      <c r="C113" s="1147">
        <v>3775</v>
      </c>
      <c r="D113" s="335">
        <v>4359</v>
      </c>
      <c r="E113" s="338">
        <v>3474</v>
      </c>
      <c r="F113" s="338">
        <v>3570</v>
      </c>
      <c r="G113" s="338">
        <v>2474</v>
      </c>
      <c r="H113" s="338">
        <v>2570</v>
      </c>
      <c r="I113" s="338">
        <v>2254</v>
      </c>
      <c r="J113" s="339">
        <v>2060</v>
      </c>
      <c r="K113" s="339">
        <v>1679</v>
      </c>
      <c r="L113" s="339">
        <v>1423</v>
      </c>
      <c r="M113" s="339">
        <v>1234</v>
      </c>
      <c r="N113" s="39"/>
      <c r="O113" s="39"/>
    </row>
    <row r="114" spans="2:15" ht="15" thickBot="1">
      <c r="B114" s="340" t="s">
        <v>585</v>
      </c>
      <c r="C114" s="1147">
        <v>497</v>
      </c>
      <c r="D114" s="335">
        <v>514</v>
      </c>
      <c r="E114" s="341">
        <v>471</v>
      </c>
      <c r="F114" s="341">
        <v>368</v>
      </c>
      <c r="G114" s="341">
        <v>285</v>
      </c>
      <c r="H114" s="341">
        <v>246</v>
      </c>
      <c r="I114" s="341">
        <v>231</v>
      </c>
      <c r="J114" s="342">
        <v>225</v>
      </c>
      <c r="K114" s="342">
        <v>169</v>
      </c>
      <c r="L114" s="342">
        <v>170</v>
      </c>
      <c r="M114" s="342">
        <v>114</v>
      </c>
      <c r="N114" s="39"/>
      <c r="O114" s="39"/>
    </row>
    <row r="115" spans="2:15" ht="15" thickBot="1">
      <c r="B115" s="351" t="s">
        <v>584</v>
      </c>
      <c r="C115" s="1147">
        <v>2</v>
      </c>
      <c r="D115" s="1106">
        <v>0</v>
      </c>
      <c r="E115" s="1072">
        <v>0</v>
      </c>
      <c r="F115" s="1072">
        <v>0</v>
      </c>
      <c r="G115" s="352">
        <v>2</v>
      </c>
      <c r="H115" s="353">
        <v>1</v>
      </c>
      <c r="I115" s="353">
        <v>0</v>
      </c>
      <c r="J115" s="354">
        <v>0</v>
      </c>
      <c r="K115" s="354">
        <v>0</v>
      </c>
      <c r="L115" s="354">
        <v>0</v>
      </c>
      <c r="M115" s="355">
        <v>2</v>
      </c>
      <c r="N115" s="39"/>
      <c r="O115" s="102"/>
    </row>
    <row r="116" spans="2:15" ht="15" thickBot="1">
      <c r="B116" s="347" t="s">
        <v>52</v>
      </c>
      <c r="C116" s="1138">
        <f>C112+C113+C114+C115</f>
        <v>333980</v>
      </c>
      <c r="D116" s="1138">
        <f>D112+D113+D114+D115</f>
        <v>311496</v>
      </c>
      <c r="E116" s="1138">
        <f>E112+E113+E114+E115</f>
        <v>320919</v>
      </c>
      <c r="F116" s="356">
        <v>299739</v>
      </c>
      <c r="G116" s="356">
        <v>250407</v>
      </c>
      <c r="H116" s="357">
        <v>261290</v>
      </c>
      <c r="I116" s="357">
        <v>259862</v>
      </c>
      <c r="J116" s="357">
        <v>248403</v>
      </c>
      <c r="K116" s="357">
        <v>236786</v>
      </c>
      <c r="L116" s="357">
        <v>223949</v>
      </c>
      <c r="M116" s="357">
        <v>223916</v>
      </c>
      <c r="N116" s="207"/>
      <c r="O116" s="207"/>
    </row>
    <row r="117" spans="2:15">
      <c r="B117" s="358" t="s">
        <v>2018</v>
      </c>
      <c r="C117" s="72"/>
      <c r="D117" s="72"/>
      <c r="E117" s="72"/>
    </row>
    <row r="118" spans="2:15">
      <c r="B118" s="358"/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</row>
    <row r="119" spans="2:15">
      <c r="B119" s="81" t="s">
        <v>581</v>
      </c>
    </row>
    <row r="120" spans="2:15">
      <c r="B120" s="290" t="s">
        <v>732</v>
      </c>
    </row>
    <row r="121" spans="2:15" ht="15" thickBot="1">
      <c r="B121" s="312"/>
      <c r="C121" s="298">
        <v>2024</v>
      </c>
      <c r="D121" s="298">
        <v>2023</v>
      </c>
      <c r="E121" s="298">
        <v>2022</v>
      </c>
      <c r="F121" s="298">
        <v>2021</v>
      </c>
      <c r="G121" s="298">
        <v>2020</v>
      </c>
      <c r="H121" s="298">
        <v>2019</v>
      </c>
      <c r="I121" s="298">
        <v>2018</v>
      </c>
      <c r="J121" s="298">
        <v>2017</v>
      </c>
      <c r="K121" s="298">
        <v>2016</v>
      </c>
      <c r="L121" s="298">
        <v>2015</v>
      </c>
      <c r="M121" s="298">
        <v>2014</v>
      </c>
      <c r="N121" s="56"/>
      <c r="O121" s="56"/>
    </row>
    <row r="122" spans="2:15">
      <c r="B122" s="351" t="s">
        <v>584</v>
      </c>
      <c r="C122" s="1148">
        <v>34382</v>
      </c>
      <c r="D122" s="359">
        <v>34618</v>
      </c>
      <c r="E122" s="359">
        <v>28272</v>
      </c>
      <c r="F122" s="359">
        <v>22298</v>
      </c>
      <c r="G122" s="359">
        <v>16694</v>
      </c>
      <c r="H122" s="359">
        <v>15235</v>
      </c>
      <c r="I122" s="360">
        <v>14282</v>
      </c>
      <c r="J122" s="360">
        <v>13098</v>
      </c>
      <c r="K122" s="360">
        <v>11385</v>
      </c>
      <c r="L122" s="360">
        <v>9329</v>
      </c>
      <c r="M122" s="360">
        <v>9705</v>
      </c>
      <c r="N122" s="121"/>
      <c r="O122" s="121"/>
    </row>
    <row r="123" spans="2:15" ht="21" thickBot="1">
      <c r="B123" s="334" t="s">
        <v>583</v>
      </c>
      <c r="C123" s="1148">
        <v>15712</v>
      </c>
      <c r="D123" s="359">
        <v>17080</v>
      </c>
      <c r="E123" s="335">
        <v>20570</v>
      </c>
      <c r="F123" s="335">
        <v>15102</v>
      </c>
      <c r="G123" s="335">
        <v>5917</v>
      </c>
      <c r="H123" s="335">
        <v>4978</v>
      </c>
      <c r="I123" s="336">
        <v>5049</v>
      </c>
      <c r="J123" s="336">
        <v>5702</v>
      </c>
      <c r="K123" s="336">
        <v>6277</v>
      </c>
      <c r="L123" s="336">
        <v>4675</v>
      </c>
      <c r="M123" s="336">
        <v>3008</v>
      </c>
      <c r="N123" s="39"/>
      <c r="O123" s="39"/>
    </row>
    <row r="124" spans="2:15" ht="15" thickBot="1">
      <c r="B124" s="340" t="s">
        <v>585</v>
      </c>
      <c r="C124" s="1148">
        <v>12751</v>
      </c>
      <c r="D124" s="359">
        <v>13260</v>
      </c>
      <c r="E124" s="341">
        <v>14410</v>
      </c>
      <c r="F124" s="341">
        <v>12943</v>
      </c>
      <c r="G124" s="341">
        <v>10602</v>
      </c>
      <c r="H124" s="341">
        <v>10314</v>
      </c>
      <c r="I124" s="342">
        <v>11603</v>
      </c>
      <c r="J124" s="342">
        <v>12327</v>
      </c>
      <c r="K124" s="342">
        <v>10612</v>
      </c>
      <c r="L124" s="342">
        <v>10165</v>
      </c>
      <c r="M124" s="342">
        <v>8317</v>
      </c>
      <c r="N124" s="39"/>
      <c r="O124" s="39"/>
    </row>
    <row r="125" spans="2:15" ht="15" thickBot="1">
      <c r="B125" s="337" t="s">
        <v>733</v>
      </c>
      <c r="C125" s="1148">
        <v>283</v>
      </c>
      <c r="D125" s="359">
        <v>387</v>
      </c>
      <c r="E125" s="338">
        <v>1684</v>
      </c>
      <c r="F125" s="338">
        <v>1325</v>
      </c>
      <c r="G125" s="338">
        <v>268</v>
      </c>
      <c r="H125" s="338">
        <v>121</v>
      </c>
      <c r="I125" s="339">
        <v>230</v>
      </c>
      <c r="J125" s="339">
        <v>77</v>
      </c>
      <c r="K125" s="339">
        <v>116</v>
      </c>
      <c r="L125" s="339">
        <v>661</v>
      </c>
      <c r="M125" s="339">
        <v>466</v>
      </c>
      <c r="N125" s="39"/>
      <c r="O125" s="39"/>
    </row>
    <row r="126" spans="2:15">
      <c r="B126" s="347" t="s">
        <v>52</v>
      </c>
      <c r="C126" s="1137">
        <f>C125+C124+C123+C122</f>
        <v>63128</v>
      </c>
      <c r="D126" s="1137">
        <f>D125+D124+D123+D122</f>
        <v>65345</v>
      </c>
      <c r="E126" s="1137">
        <f>E125+E124+E123+E122</f>
        <v>64936</v>
      </c>
      <c r="F126" s="357">
        <v>51668</v>
      </c>
      <c r="G126" s="357">
        <v>33481</v>
      </c>
      <c r="H126" s="357">
        <v>30648</v>
      </c>
      <c r="I126" s="357">
        <v>31164</v>
      </c>
      <c r="J126" s="357">
        <v>31204</v>
      </c>
      <c r="K126" s="357">
        <v>28390</v>
      </c>
      <c r="L126" s="357">
        <v>24830</v>
      </c>
      <c r="M126" s="357">
        <v>21496</v>
      </c>
      <c r="N126" s="207"/>
      <c r="O126" s="207"/>
    </row>
    <row r="127" spans="2:15">
      <c r="B127" s="348" t="s">
        <v>2018</v>
      </c>
      <c r="C127" s="182"/>
      <c r="D127" s="182"/>
      <c r="E127" s="182"/>
      <c r="F127" s="182"/>
      <c r="G127" s="182"/>
      <c r="H127" s="182"/>
      <c r="I127" s="182"/>
      <c r="J127" s="349"/>
      <c r="K127" s="182"/>
      <c r="L127" s="182"/>
      <c r="M127" s="182"/>
    </row>
    <row r="128" spans="2:15">
      <c r="N128" s="350"/>
    </row>
    <row r="135" spans="11:11">
      <c r="K135" t="s">
        <v>1672</v>
      </c>
    </row>
    <row r="136" spans="11:11">
      <c r="K136" t="s">
        <v>1673</v>
      </c>
    </row>
    <row r="153" spans="2:16">
      <c r="C153" t="s">
        <v>2019</v>
      </c>
    </row>
    <row r="156" spans="2:16" ht="15.6">
      <c r="B156" s="83" t="s">
        <v>587</v>
      </c>
    </row>
    <row r="157" spans="2:16">
      <c r="B157" s="1" t="s">
        <v>735</v>
      </c>
    </row>
    <row r="158" spans="2:16">
      <c r="B158" s="361" t="s">
        <v>590</v>
      </c>
      <c r="C158" s="364">
        <v>2024</v>
      </c>
      <c r="D158" s="364">
        <v>2023</v>
      </c>
      <c r="E158" s="298">
        <v>2022</v>
      </c>
      <c r="F158" s="298">
        <v>2021</v>
      </c>
      <c r="G158" s="298">
        <v>2020</v>
      </c>
      <c r="H158" s="298">
        <v>2019</v>
      </c>
      <c r="I158" s="298">
        <v>2018</v>
      </c>
      <c r="J158" s="298">
        <v>2017</v>
      </c>
      <c r="K158" s="298">
        <v>2016</v>
      </c>
      <c r="L158" s="298">
        <v>2015</v>
      </c>
      <c r="M158" s="298">
        <v>2014</v>
      </c>
      <c r="N158" s="56"/>
      <c r="O158" s="56"/>
    </row>
    <row r="159" spans="2:16" ht="15" thickBot="1">
      <c r="B159" s="95" t="s">
        <v>1620</v>
      </c>
      <c r="C159" s="1368">
        <v>1731656</v>
      </c>
      <c r="D159" s="1369">
        <v>1533951</v>
      </c>
      <c r="E159" s="1369">
        <v>1568856</v>
      </c>
      <c r="F159" s="1369">
        <v>1137503</v>
      </c>
      <c r="G159" s="44">
        <v>988128</v>
      </c>
      <c r="H159" s="44">
        <v>1031053</v>
      </c>
      <c r="I159" s="44">
        <v>967870</v>
      </c>
      <c r="J159" s="44">
        <v>970025</v>
      </c>
      <c r="K159" s="44">
        <v>928046</v>
      </c>
      <c r="L159" s="44">
        <v>898909</v>
      </c>
      <c r="M159" s="44">
        <v>783544</v>
      </c>
      <c r="N159" s="39"/>
      <c r="O159" s="39"/>
      <c r="P159" s="139"/>
    </row>
    <row r="160" spans="2:16" ht="15" thickBot="1">
      <c r="B160" s="95" t="s">
        <v>32</v>
      </c>
      <c r="C160" s="1278">
        <v>68468</v>
      </c>
      <c r="D160" s="1074">
        <v>59692</v>
      </c>
      <c r="E160" s="1074">
        <v>62585</v>
      </c>
      <c r="F160" s="1074">
        <v>48869</v>
      </c>
      <c r="G160" s="44">
        <v>32980</v>
      </c>
      <c r="H160" s="44">
        <v>33195</v>
      </c>
      <c r="I160" s="44">
        <v>33739</v>
      </c>
      <c r="J160" s="44">
        <v>34347</v>
      </c>
      <c r="K160" s="44">
        <v>35293</v>
      </c>
      <c r="L160" s="44">
        <v>36306</v>
      </c>
      <c r="M160" s="44">
        <v>27892</v>
      </c>
      <c r="N160" s="39"/>
      <c r="O160" s="39"/>
      <c r="P160" s="121"/>
    </row>
    <row r="161" spans="2:16" ht="15" thickBot="1">
      <c r="B161" s="95" t="s">
        <v>13</v>
      </c>
      <c r="C161" s="1279">
        <v>56274</v>
      </c>
      <c r="D161" s="1075">
        <v>50601</v>
      </c>
      <c r="E161" s="1075">
        <v>49197</v>
      </c>
      <c r="F161" s="1075">
        <v>47784</v>
      </c>
      <c r="G161" s="44">
        <v>31769</v>
      </c>
      <c r="H161" s="44">
        <v>34035</v>
      </c>
      <c r="I161" s="44">
        <v>29387</v>
      </c>
      <c r="J161" s="44">
        <v>25189</v>
      </c>
      <c r="K161" s="44">
        <v>23766</v>
      </c>
      <c r="L161" s="44">
        <v>24330</v>
      </c>
      <c r="M161" s="44">
        <v>22465</v>
      </c>
      <c r="N161" s="39"/>
      <c r="O161" s="39"/>
      <c r="P161" s="121"/>
    </row>
    <row r="162" spans="2:16" ht="15" thickBot="1">
      <c r="B162" s="95" t="s">
        <v>30</v>
      </c>
      <c r="C162" s="1279">
        <v>43578</v>
      </c>
      <c r="D162" s="1075">
        <v>44564</v>
      </c>
      <c r="E162" s="1075">
        <v>51763</v>
      </c>
      <c r="F162" s="1075">
        <v>43669</v>
      </c>
      <c r="G162" s="44">
        <v>42528</v>
      </c>
      <c r="H162" s="44">
        <v>46896</v>
      </c>
      <c r="I162" s="44">
        <v>45191</v>
      </c>
      <c r="J162" s="44">
        <v>49223</v>
      </c>
      <c r="K162" s="44">
        <v>43911</v>
      </c>
      <c r="L162" s="44">
        <v>43886</v>
      </c>
      <c r="M162" s="44">
        <v>40245</v>
      </c>
      <c r="N162" s="39"/>
      <c r="O162" s="39"/>
    </row>
    <row r="163" spans="2:16" ht="15" thickBot="1">
      <c r="B163" s="95" t="s">
        <v>20</v>
      </c>
      <c r="C163" s="1277">
        <v>62298</v>
      </c>
      <c r="D163" s="1073">
        <v>59452</v>
      </c>
      <c r="E163" s="1073">
        <v>57584</v>
      </c>
      <c r="F163" s="1073">
        <v>42209</v>
      </c>
      <c r="G163" s="44">
        <v>33538</v>
      </c>
      <c r="H163" s="44">
        <v>40562</v>
      </c>
      <c r="I163" s="44">
        <v>34829</v>
      </c>
      <c r="J163" s="44">
        <v>39676</v>
      </c>
      <c r="K163" s="44">
        <v>44487</v>
      </c>
      <c r="L163" s="44">
        <v>48746</v>
      </c>
      <c r="M163" s="44">
        <v>40279</v>
      </c>
      <c r="N163" s="39"/>
      <c r="O163" s="39"/>
      <c r="P163" s="121"/>
    </row>
    <row r="164" spans="2:16" ht="15" thickBot="1">
      <c r="B164" s="95" t="s">
        <v>17</v>
      </c>
      <c r="C164" s="1278">
        <v>47648</v>
      </c>
      <c r="D164" s="1074">
        <v>35111</v>
      </c>
      <c r="E164" s="1074">
        <v>35872</v>
      </c>
      <c r="F164" s="1074">
        <v>26110</v>
      </c>
      <c r="G164" s="44">
        <v>19970</v>
      </c>
      <c r="H164" s="44">
        <v>24403</v>
      </c>
      <c r="I164" s="44">
        <v>21469</v>
      </c>
      <c r="J164" s="44">
        <v>19635</v>
      </c>
      <c r="K164" s="44">
        <v>18344</v>
      </c>
      <c r="L164" s="44">
        <v>18001</v>
      </c>
      <c r="M164" s="44">
        <v>14738</v>
      </c>
      <c r="N164" s="39"/>
      <c r="O164" s="39"/>
      <c r="P164" s="121"/>
    </row>
    <row r="165" spans="2:16" ht="15" thickBot="1">
      <c r="B165" s="95" t="s">
        <v>736</v>
      </c>
      <c r="C165" s="1279">
        <v>7572</v>
      </c>
      <c r="D165" s="1075">
        <v>8234</v>
      </c>
      <c r="E165" s="1075">
        <v>15021</v>
      </c>
      <c r="F165" s="1075">
        <v>20293</v>
      </c>
      <c r="G165" s="44">
        <v>16959</v>
      </c>
      <c r="H165" s="44">
        <v>22510</v>
      </c>
      <c r="I165" s="44">
        <v>20454</v>
      </c>
      <c r="J165" s="44">
        <v>24673</v>
      </c>
      <c r="K165" s="44">
        <v>24989</v>
      </c>
      <c r="L165" s="44">
        <v>33655</v>
      </c>
      <c r="M165" s="44">
        <v>50525</v>
      </c>
      <c r="N165" s="39"/>
      <c r="O165" s="39"/>
    </row>
    <row r="166" spans="2:16" ht="15" thickBot="1">
      <c r="B166" s="95" t="s">
        <v>15</v>
      </c>
      <c r="C166" s="1279">
        <v>25189</v>
      </c>
      <c r="D166" s="1075">
        <v>20496</v>
      </c>
      <c r="E166" s="1075">
        <v>21201</v>
      </c>
      <c r="F166" s="1075">
        <v>18288</v>
      </c>
      <c r="G166" s="44">
        <v>11836</v>
      </c>
      <c r="H166" s="44">
        <v>13118</v>
      </c>
      <c r="I166" s="44">
        <v>10792</v>
      </c>
      <c r="J166" s="44">
        <v>8100</v>
      </c>
      <c r="K166" s="44">
        <v>7020</v>
      </c>
      <c r="L166" s="44">
        <v>5388</v>
      </c>
      <c r="M166" s="44">
        <v>4450</v>
      </c>
      <c r="N166" s="39"/>
      <c r="O166" s="39"/>
      <c r="P166" s="121"/>
    </row>
    <row r="167" spans="2:16" ht="15" thickBot="1">
      <c r="B167" s="95" t="s">
        <v>737</v>
      </c>
      <c r="C167" s="1277">
        <v>12547</v>
      </c>
      <c r="D167" s="1073">
        <v>12711</v>
      </c>
      <c r="E167" s="1073">
        <v>14058</v>
      </c>
      <c r="F167" s="1073">
        <v>10564</v>
      </c>
      <c r="G167" s="44">
        <v>6893</v>
      </c>
      <c r="H167" s="44">
        <v>11476</v>
      </c>
      <c r="I167" s="44">
        <v>11306</v>
      </c>
      <c r="J167" s="44">
        <v>9875</v>
      </c>
      <c r="K167" s="44">
        <v>8134</v>
      </c>
      <c r="L167" s="44">
        <v>6405</v>
      </c>
      <c r="M167" s="44">
        <v>5520</v>
      </c>
      <c r="N167" s="39"/>
      <c r="O167" s="39"/>
      <c r="P167" s="285"/>
    </row>
    <row r="168" spans="2:16" ht="15" thickBot="1">
      <c r="B168" s="95" t="s">
        <v>327</v>
      </c>
      <c r="C168" s="1278">
        <v>16708</v>
      </c>
      <c r="D168" s="1074">
        <v>14483</v>
      </c>
      <c r="E168" s="1074">
        <v>12174</v>
      </c>
      <c r="F168" s="1074">
        <v>7194</v>
      </c>
      <c r="G168" s="44">
        <v>5599</v>
      </c>
      <c r="H168" s="44">
        <v>5184</v>
      </c>
      <c r="I168" s="44">
        <v>3867</v>
      </c>
      <c r="J168" s="44">
        <v>3866</v>
      </c>
      <c r="K168" s="44">
        <v>2602</v>
      </c>
      <c r="L168" s="44">
        <v>2667</v>
      </c>
      <c r="M168" s="44">
        <v>1743</v>
      </c>
      <c r="N168" s="39"/>
      <c r="O168" s="39"/>
      <c r="P168" s="139"/>
    </row>
    <row r="169" spans="2:16" ht="15" thickBot="1">
      <c r="B169" s="95" t="s">
        <v>26</v>
      </c>
      <c r="C169" s="1279">
        <v>5390</v>
      </c>
      <c r="D169" s="1075">
        <v>6145</v>
      </c>
      <c r="E169" s="1075">
        <v>6114</v>
      </c>
      <c r="F169" s="1075">
        <v>6045</v>
      </c>
      <c r="G169" s="44">
        <v>5072</v>
      </c>
      <c r="H169" s="44">
        <v>5704</v>
      </c>
      <c r="I169" s="44">
        <v>5503</v>
      </c>
      <c r="J169" s="44">
        <v>6203</v>
      </c>
      <c r="K169" s="44">
        <v>5056</v>
      </c>
      <c r="L169" s="44">
        <v>5238</v>
      </c>
      <c r="M169" s="44">
        <v>4820</v>
      </c>
      <c r="N169" s="39"/>
      <c r="O169" s="39"/>
      <c r="P169" s="285"/>
    </row>
    <row r="170" spans="2:16" ht="15" thickBot="1">
      <c r="B170" s="95" t="s">
        <v>12</v>
      </c>
      <c r="C170" s="1279">
        <v>7005</v>
      </c>
      <c r="D170" s="1075">
        <v>6213</v>
      </c>
      <c r="E170" s="1075">
        <v>6247</v>
      </c>
      <c r="F170" s="1075">
        <v>5736</v>
      </c>
      <c r="G170" s="44">
        <v>3591</v>
      </c>
      <c r="H170" s="44">
        <v>4168</v>
      </c>
      <c r="I170" s="44">
        <v>3403</v>
      </c>
      <c r="J170" s="44">
        <v>3225</v>
      </c>
      <c r="K170" s="44">
        <v>3156</v>
      </c>
      <c r="L170" s="44">
        <v>2445</v>
      </c>
      <c r="M170" s="44">
        <v>1352</v>
      </c>
      <c r="N170" s="39"/>
      <c r="O170" s="39"/>
      <c r="P170" s="285"/>
    </row>
    <row r="171" spans="2:16" ht="15" thickBot="1">
      <c r="B171" s="95" t="s">
        <v>738</v>
      </c>
      <c r="C171" s="1277">
        <v>5707</v>
      </c>
      <c r="D171" s="1073">
        <v>5972</v>
      </c>
      <c r="E171" s="1073">
        <v>5448</v>
      </c>
      <c r="F171" s="1073">
        <v>4047</v>
      </c>
      <c r="G171" s="44">
        <v>3321</v>
      </c>
      <c r="H171" s="44">
        <v>3851</v>
      </c>
      <c r="I171" s="44">
        <v>3163</v>
      </c>
      <c r="J171" s="44">
        <v>3849</v>
      </c>
      <c r="K171" s="44">
        <v>3587</v>
      </c>
      <c r="L171" s="44">
        <v>2313</v>
      </c>
      <c r="M171" s="44">
        <v>2248</v>
      </c>
      <c r="N171" s="39"/>
      <c r="O171" s="39"/>
      <c r="P171" s="121"/>
    </row>
    <row r="172" spans="2:16" ht="15" thickBot="1">
      <c r="B172" s="95" t="s">
        <v>836</v>
      </c>
      <c r="C172" s="1278">
        <v>9562</v>
      </c>
      <c r="D172" s="1074">
        <v>7278</v>
      </c>
      <c r="E172" s="1074">
        <v>5356</v>
      </c>
      <c r="F172" s="1074">
        <v>3986</v>
      </c>
      <c r="G172" s="44">
        <v>1588</v>
      </c>
      <c r="H172" s="44">
        <v>2317</v>
      </c>
      <c r="I172" s="44">
        <v>1971</v>
      </c>
      <c r="J172" s="44">
        <v>1001</v>
      </c>
      <c r="K172" s="44">
        <v>1281</v>
      </c>
      <c r="L172" s="44">
        <v>1433</v>
      </c>
      <c r="M172" s="44">
        <v>1079</v>
      </c>
      <c r="N172" s="39"/>
      <c r="O172" s="39"/>
      <c r="P172" s="121"/>
    </row>
    <row r="173" spans="2:16" ht="15" thickBot="1">
      <c r="B173" s="95" t="s">
        <v>709</v>
      </c>
      <c r="C173" s="1279">
        <v>6067</v>
      </c>
      <c r="D173" s="1075">
        <v>5309</v>
      </c>
      <c r="E173" s="1075">
        <v>4477</v>
      </c>
      <c r="F173" s="1075">
        <v>3708</v>
      </c>
      <c r="G173" s="44">
        <v>2860</v>
      </c>
      <c r="H173" s="44">
        <v>3539</v>
      </c>
      <c r="I173" s="44">
        <v>5843</v>
      </c>
      <c r="J173" s="44">
        <v>5924</v>
      </c>
      <c r="K173" s="44">
        <v>6264</v>
      </c>
      <c r="L173" s="44">
        <v>4373</v>
      </c>
      <c r="M173" s="44">
        <v>3048</v>
      </c>
      <c r="N173" s="39"/>
      <c r="O173" s="39"/>
      <c r="P173" s="285"/>
    </row>
    <row r="174" spans="2:16" ht="15" thickBot="1">
      <c r="B174" s="95" t="s">
        <v>21</v>
      </c>
      <c r="C174" s="1279">
        <v>3455</v>
      </c>
      <c r="D174" s="1075">
        <v>3711</v>
      </c>
      <c r="E174" s="1075">
        <v>3950</v>
      </c>
      <c r="F174" s="1075">
        <v>3323</v>
      </c>
      <c r="G174" s="44">
        <v>2331</v>
      </c>
      <c r="H174" s="44">
        <v>1672</v>
      </c>
      <c r="I174" s="44">
        <v>815</v>
      </c>
      <c r="J174" s="44">
        <v>396</v>
      </c>
      <c r="K174" s="44">
        <v>212</v>
      </c>
      <c r="L174" s="44">
        <v>325</v>
      </c>
      <c r="M174" s="44">
        <v>492</v>
      </c>
      <c r="N174" s="39"/>
      <c r="O174" s="39"/>
    </row>
    <row r="175" spans="2:16" ht="15" thickBot="1">
      <c r="B175" s="95" t="s">
        <v>9</v>
      </c>
      <c r="C175" s="1277">
        <v>2661</v>
      </c>
      <c r="D175" s="1073">
        <v>3176</v>
      </c>
      <c r="E175" s="1073">
        <v>3875</v>
      </c>
      <c r="F175" s="1073">
        <v>3186</v>
      </c>
      <c r="G175" s="44">
        <v>2441</v>
      </c>
      <c r="H175" s="44">
        <v>2690</v>
      </c>
      <c r="I175" s="44">
        <v>2548</v>
      </c>
      <c r="J175" s="44">
        <v>2667</v>
      </c>
      <c r="K175" s="44">
        <v>2430</v>
      </c>
      <c r="L175" s="44">
        <v>2745</v>
      </c>
      <c r="M175" s="44">
        <v>2889</v>
      </c>
      <c r="N175" s="39"/>
      <c r="O175" s="39"/>
      <c r="P175" s="121"/>
    </row>
    <row r="176" spans="2:16" ht="15" thickBot="1">
      <c r="B176" s="95" t="s">
        <v>739</v>
      </c>
      <c r="C176" s="1278">
        <v>1540</v>
      </c>
      <c r="D176" s="1074">
        <v>2439</v>
      </c>
      <c r="E176" s="1074">
        <v>2439</v>
      </c>
      <c r="F176" s="1074">
        <v>2389</v>
      </c>
      <c r="G176" s="44">
        <v>2033</v>
      </c>
      <c r="H176" s="44">
        <v>1785</v>
      </c>
      <c r="I176" s="44">
        <v>2407</v>
      </c>
      <c r="J176" s="44">
        <v>2612</v>
      </c>
      <c r="K176" s="44">
        <v>2050</v>
      </c>
      <c r="L176" s="44">
        <v>2235</v>
      </c>
      <c r="M176" s="44">
        <v>3798</v>
      </c>
      <c r="N176" s="39"/>
      <c r="O176" s="39"/>
      <c r="P176" s="121"/>
    </row>
    <row r="177" spans="2:15" ht="15" thickBot="1">
      <c r="B177" s="117" t="s">
        <v>354</v>
      </c>
      <c r="C177" s="1279">
        <f>C178-C176-C175-C174-C173-C172-C171-C170-C169-C168-C167-C166-C165-C164-C163-C162-C161-C160-C159</f>
        <v>56123</v>
      </c>
      <c r="D177" s="1075">
        <f>D178-D176-D175-D174-D173-D172-D171-D170-D169-D168-D167-D166-D165-D164-D163-D162-D161-D160-D159</f>
        <v>43919</v>
      </c>
      <c r="E177" s="1075">
        <f>E178-E176-E175-E174-E173-E172-E171-E170-E169-E168-E167-E166-E165-E164-E163-E162-E161-E160-E159</f>
        <v>34504</v>
      </c>
      <c r="F177" s="1075">
        <v>25160</v>
      </c>
      <c r="G177" s="39">
        <v>22550</v>
      </c>
      <c r="H177" s="39">
        <v>29247</v>
      </c>
      <c r="I177" s="109">
        <v>30157</v>
      </c>
      <c r="J177" s="109">
        <v>28427</v>
      </c>
      <c r="K177" s="109">
        <v>25083</v>
      </c>
      <c r="L177" s="109">
        <v>27635</v>
      </c>
      <c r="M177" s="109">
        <v>22727</v>
      </c>
      <c r="N177" s="39"/>
      <c r="O177" s="39"/>
    </row>
    <row r="178" spans="2:15">
      <c r="B178" s="312" t="s">
        <v>52</v>
      </c>
      <c r="C178" s="1370">
        <v>2169448</v>
      </c>
      <c r="D178" s="1370">
        <v>1923457</v>
      </c>
      <c r="E178" s="1371">
        <v>1960721</v>
      </c>
      <c r="F178" s="1372">
        <v>1460060</v>
      </c>
      <c r="G178" s="1372">
        <v>1235985</v>
      </c>
      <c r="H178" s="1372">
        <v>1317400</v>
      </c>
      <c r="I178" s="1372">
        <v>1234716</v>
      </c>
      <c r="J178" s="1372">
        <v>1238914</v>
      </c>
      <c r="K178" s="1372">
        <v>1185712</v>
      </c>
      <c r="L178" s="1372">
        <v>1167032</v>
      </c>
      <c r="M178" s="1372">
        <v>1033853</v>
      </c>
      <c r="N178" s="126"/>
      <c r="O178" s="126"/>
    </row>
    <row r="179" spans="2:15">
      <c r="B179" s="358" t="s">
        <v>2019</v>
      </c>
      <c r="C179" s="139"/>
    </row>
    <row r="182" spans="2:15" ht="15.6">
      <c r="B182" s="83" t="s">
        <v>740</v>
      </c>
    </row>
    <row r="183" spans="2:15">
      <c r="B183" s="1" t="s">
        <v>735</v>
      </c>
    </row>
    <row r="184" spans="2:15">
      <c r="B184" s="361"/>
      <c r="C184" s="364">
        <v>2024</v>
      </c>
      <c r="D184" s="364">
        <v>2023</v>
      </c>
      <c r="E184" s="298">
        <v>2022</v>
      </c>
      <c r="F184" s="298">
        <v>2021</v>
      </c>
      <c r="G184" s="298">
        <v>2020</v>
      </c>
      <c r="H184" s="298">
        <v>2019</v>
      </c>
      <c r="I184" s="298">
        <v>2018</v>
      </c>
      <c r="J184" s="298">
        <v>2017</v>
      </c>
      <c r="K184" s="298">
        <v>2016</v>
      </c>
      <c r="L184" s="298">
        <v>2015</v>
      </c>
      <c r="M184" s="298">
        <v>2014</v>
      </c>
      <c r="N184" s="1149"/>
      <c r="O184" s="56"/>
    </row>
    <row r="185" spans="2:15" ht="15" thickBot="1">
      <c r="B185" s="95" t="s">
        <v>113</v>
      </c>
      <c r="C185" s="1249">
        <v>392824</v>
      </c>
      <c r="D185" s="282">
        <v>347363</v>
      </c>
      <c r="E185" s="282">
        <v>375221</v>
      </c>
      <c r="F185" s="282">
        <v>310496</v>
      </c>
      <c r="G185" s="44">
        <v>281937</v>
      </c>
      <c r="H185" s="44">
        <v>295034</v>
      </c>
      <c r="I185" s="44">
        <v>282636</v>
      </c>
      <c r="J185" s="44">
        <v>273885</v>
      </c>
      <c r="K185" s="44">
        <v>274925</v>
      </c>
      <c r="L185" s="44">
        <v>284234</v>
      </c>
      <c r="M185" s="44">
        <v>279537</v>
      </c>
      <c r="N185" s="39"/>
      <c r="O185" s="39"/>
    </row>
    <row r="186" spans="2:15" ht="15" thickBot="1">
      <c r="B186" s="95" t="s">
        <v>117</v>
      </c>
      <c r="C186" s="1249">
        <v>299355</v>
      </c>
      <c r="D186" s="282">
        <v>263417</v>
      </c>
      <c r="E186" s="282">
        <v>262691</v>
      </c>
      <c r="F186" s="282">
        <v>216344</v>
      </c>
      <c r="G186" s="44">
        <v>179003</v>
      </c>
      <c r="H186" s="44">
        <v>210723</v>
      </c>
      <c r="I186" s="44">
        <v>191481</v>
      </c>
      <c r="J186" s="44">
        <v>199165</v>
      </c>
      <c r="K186" s="44">
        <v>191724</v>
      </c>
      <c r="L186" s="44">
        <v>191889</v>
      </c>
      <c r="M186" s="44">
        <v>170108</v>
      </c>
      <c r="N186" s="39"/>
      <c r="O186" s="39"/>
    </row>
    <row r="187" spans="2:15" ht="15" thickBot="1">
      <c r="B187" s="95" t="s">
        <v>115</v>
      </c>
      <c r="C187" s="1249">
        <v>179081</v>
      </c>
      <c r="D187" s="282">
        <v>168813</v>
      </c>
      <c r="E187" s="282">
        <v>167981</v>
      </c>
      <c r="F187" s="282">
        <v>138254</v>
      </c>
      <c r="G187" s="44">
        <v>111045</v>
      </c>
      <c r="H187" s="44">
        <v>133482</v>
      </c>
      <c r="I187" s="44">
        <v>129276</v>
      </c>
      <c r="J187" s="44">
        <v>135294</v>
      </c>
      <c r="K187" s="44">
        <v>132253</v>
      </c>
      <c r="L187" s="44">
        <v>132511</v>
      </c>
      <c r="M187" s="44">
        <v>113093</v>
      </c>
      <c r="N187" s="39"/>
      <c r="O187" s="39"/>
    </row>
    <row r="188" spans="2:15" ht="15" thickBot="1">
      <c r="B188" s="95" t="s">
        <v>201</v>
      </c>
      <c r="C188" s="1249" t="s">
        <v>59</v>
      </c>
      <c r="D188" s="282" t="s">
        <v>59</v>
      </c>
      <c r="E188" s="282" t="s">
        <v>59</v>
      </c>
      <c r="F188" s="282">
        <v>68109</v>
      </c>
      <c r="G188" s="44">
        <v>61466</v>
      </c>
      <c r="H188" s="44">
        <v>70446</v>
      </c>
      <c r="I188" s="44">
        <v>68731</v>
      </c>
      <c r="J188" s="44">
        <v>69522</v>
      </c>
      <c r="K188" s="44">
        <v>70508</v>
      </c>
      <c r="L188" s="44">
        <v>69880.126182965309</v>
      </c>
      <c r="M188" s="44">
        <v>57787.730523146405</v>
      </c>
      <c r="N188" s="39"/>
      <c r="O188" s="39"/>
    </row>
    <row r="189" spans="2:15" ht="15" thickBot="1">
      <c r="B189" s="95" t="s">
        <v>741</v>
      </c>
      <c r="C189" s="1249" t="s">
        <v>59</v>
      </c>
      <c r="D189" s="282" t="s">
        <v>59</v>
      </c>
      <c r="E189" s="282" t="s">
        <v>59</v>
      </c>
      <c r="F189" s="282">
        <v>65411</v>
      </c>
      <c r="G189" s="44">
        <v>47265</v>
      </c>
      <c r="H189" s="44">
        <v>64183</v>
      </c>
      <c r="I189" s="44">
        <v>63519</v>
      </c>
      <c r="J189" s="44">
        <v>66166</v>
      </c>
      <c r="K189" s="44">
        <v>65679</v>
      </c>
      <c r="L189" s="44">
        <v>17213</v>
      </c>
      <c r="M189" s="46" t="s">
        <v>59</v>
      </c>
      <c r="N189" s="121"/>
      <c r="O189" s="121"/>
    </row>
    <row r="190" spans="2:15" ht="15" thickBot="1">
      <c r="B190" s="95" t="s">
        <v>114</v>
      </c>
      <c r="C190" s="1249">
        <v>22097</v>
      </c>
      <c r="D190" s="282">
        <v>21110</v>
      </c>
      <c r="E190" s="282">
        <v>19429</v>
      </c>
      <c r="F190" s="282">
        <v>12555</v>
      </c>
      <c r="G190" s="44">
        <v>9105</v>
      </c>
      <c r="H190" s="44">
        <v>8607</v>
      </c>
      <c r="I190" s="44">
        <v>9023</v>
      </c>
      <c r="J190" s="44">
        <v>7880</v>
      </c>
      <c r="K190" s="44">
        <v>6169</v>
      </c>
      <c r="L190" s="44">
        <v>1294</v>
      </c>
      <c r="M190" s="46" t="s">
        <v>59</v>
      </c>
      <c r="N190" s="121"/>
      <c r="O190" s="121"/>
    </row>
    <row r="191" spans="2:15" ht="15" thickBot="1">
      <c r="B191" s="95" t="s">
        <v>220</v>
      </c>
      <c r="C191" s="1249" t="s">
        <v>59</v>
      </c>
      <c r="D191" s="282" t="s">
        <v>59</v>
      </c>
      <c r="E191" s="282" t="s">
        <v>59</v>
      </c>
      <c r="F191" s="282">
        <v>7025</v>
      </c>
      <c r="G191" s="44">
        <v>5511</v>
      </c>
      <c r="H191" s="44">
        <v>6427</v>
      </c>
      <c r="I191" s="44">
        <v>6959</v>
      </c>
      <c r="J191" s="44">
        <v>7540</v>
      </c>
      <c r="K191" s="44">
        <v>8200</v>
      </c>
      <c r="L191" s="44">
        <v>7993.6908517350166</v>
      </c>
      <c r="M191" s="44">
        <v>7193.074896499812</v>
      </c>
      <c r="N191" s="39"/>
      <c r="O191" s="39"/>
    </row>
    <row r="192" spans="2:15" ht="15" thickBot="1">
      <c r="B192" s="95" t="s">
        <v>116</v>
      </c>
      <c r="C192" s="1249" t="s">
        <v>59</v>
      </c>
      <c r="D192" s="282" t="s">
        <v>59</v>
      </c>
      <c r="E192" s="282" t="s">
        <v>59</v>
      </c>
      <c r="F192" s="282">
        <v>3804</v>
      </c>
      <c r="G192" s="44">
        <v>4470</v>
      </c>
      <c r="H192" s="44">
        <v>5151</v>
      </c>
      <c r="I192" s="44">
        <v>4291</v>
      </c>
      <c r="J192" s="44">
        <v>4126</v>
      </c>
      <c r="K192" s="44">
        <v>3722</v>
      </c>
      <c r="L192" s="44">
        <v>4580.441640378549</v>
      </c>
      <c r="M192" s="44">
        <v>4943.9217162213017</v>
      </c>
      <c r="N192" s="39"/>
      <c r="O192" s="39"/>
    </row>
    <row r="193" spans="2:15" ht="15" thickBot="1">
      <c r="B193" s="95" t="s">
        <v>139</v>
      </c>
      <c r="C193" s="1249" t="s">
        <v>59</v>
      </c>
      <c r="D193" s="282" t="s">
        <v>59</v>
      </c>
      <c r="E193" s="282" t="s">
        <v>59</v>
      </c>
      <c r="F193" s="282">
        <v>3671</v>
      </c>
      <c r="G193" s="44">
        <v>3662</v>
      </c>
      <c r="H193" s="44">
        <v>3894</v>
      </c>
      <c r="I193" s="44">
        <v>3528</v>
      </c>
      <c r="J193" s="44">
        <v>3663</v>
      </c>
      <c r="K193" s="44">
        <v>3294</v>
      </c>
      <c r="L193" s="44">
        <v>1964.8490310950881</v>
      </c>
      <c r="M193" s="44">
        <v>1640.9484380880692</v>
      </c>
      <c r="N193" s="39"/>
      <c r="O193" s="39"/>
    </row>
    <row r="194" spans="2:15" ht="15" thickBot="1">
      <c r="B194" s="95" t="s">
        <v>120</v>
      </c>
      <c r="C194" s="1249">
        <v>12</v>
      </c>
      <c r="D194" s="282">
        <v>14</v>
      </c>
      <c r="E194" s="282">
        <v>44</v>
      </c>
      <c r="F194" s="282">
        <v>33</v>
      </c>
      <c r="G194" s="44">
        <v>11</v>
      </c>
      <c r="H194" s="44">
        <v>17</v>
      </c>
      <c r="I194" s="44">
        <v>23</v>
      </c>
      <c r="J194" s="44">
        <v>32</v>
      </c>
      <c r="K194" s="44">
        <v>29</v>
      </c>
      <c r="L194" s="44">
        <v>36</v>
      </c>
      <c r="M194" s="44">
        <v>48</v>
      </c>
      <c r="N194" s="39"/>
      <c r="O194" s="39"/>
    </row>
    <row r="195" spans="2:15" ht="15" thickBot="1">
      <c r="B195" s="95" t="s">
        <v>742</v>
      </c>
      <c r="C195" s="1249">
        <f>C197-C196-C194-C190-C187-C186-C185</f>
        <v>350808</v>
      </c>
      <c r="D195" s="282">
        <f>D197-D196-D194-D190-D187-D186-D185</f>
        <v>286592</v>
      </c>
      <c r="E195" s="282">
        <f>E197-E196-E194-E190-E187-E186-E185</f>
        <v>267023</v>
      </c>
      <c r="F195" s="282">
        <v>615326</v>
      </c>
      <c r="G195" s="44">
        <v>517665</v>
      </c>
      <c r="H195" s="44">
        <v>506465</v>
      </c>
      <c r="I195" s="44">
        <v>463207</v>
      </c>
      <c r="J195" s="44">
        <v>461576</v>
      </c>
      <c r="K195" s="44">
        <v>419483</v>
      </c>
      <c r="L195" s="44">
        <v>446338</v>
      </c>
      <c r="M195" s="44">
        <v>390163</v>
      </c>
      <c r="N195" s="39"/>
      <c r="O195" s="39"/>
    </row>
    <row r="196" spans="2:15" ht="15" thickBot="1">
      <c r="B196" s="129" t="s">
        <v>743</v>
      </c>
      <c r="C196" s="1249">
        <v>15952</v>
      </c>
      <c r="D196" s="282">
        <v>17715</v>
      </c>
      <c r="E196" s="1076">
        <v>21484</v>
      </c>
      <c r="F196" s="1076">
        <v>19031</v>
      </c>
      <c r="G196" s="109">
        <v>14845</v>
      </c>
      <c r="H196" s="109">
        <v>12970</v>
      </c>
      <c r="I196" s="109">
        <v>12042</v>
      </c>
      <c r="J196" s="109">
        <v>10065</v>
      </c>
      <c r="K196" s="109">
        <v>9726</v>
      </c>
      <c r="L196" s="109">
        <v>9341</v>
      </c>
      <c r="M196" s="109">
        <v>9135</v>
      </c>
      <c r="N196" s="39"/>
      <c r="O196" s="39"/>
    </row>
    <row r="197" spans="2:15">
      <c r="B197" s="312" t="s">
        <v>3</v>
      </c>
      <c r="C197" s="1371">
        <v>1260129</v>
      </c>
      <c r="D197" s="1371">
        <v>1105024</v>
      </c>
      <c r="E197" s="1371">
        <v>1113873</v>
      </c>
      <c r="F197" s="1372">
        <v>1460060</v>
      </c>
      <c r="G197" s="1372">
        <v>1235985</v>
      </c>
      <c r="H197" s="1372">
        <v>1317400</v>
      </c>
      <c r="I197" s="1372">
        <v>1234716</v>
      </c>
      <c r="J197" s="1372">
        <v>1238914</v>
      </c>
      <c r="K197" s="1372">
        <v>1185712</v>
      </c>
      <c r="L197" s="1372">
        <v>1167555</v>
      </c>
      <c r="M197" s="1372">
        <v>1034438.088069251</v>
      </c>
      <c r="N197" s="126"/>
      <c r="O197" s="126"/>
    </row>
    <row r="198" spans="2:15">
      <c r="B198" s="348" t="s">
        <v>2019</v>
      </c>
      <c r="C198" s="139"/>
      <c r="D198" s="139"/>
      <c r="E198" s="139"/>
      <c r="L198" s="121"/>
      <c r="M198" s="121"/>
      <c r="N198" s="121"/>
    </row>
    <row r="199" spans="2:15">
      <c r="C199" s="23"/>
      <c r="D199" s="23"/>
    </row>
    <row r="201" spans="2:15" ht="15.6">
      <c r="B201" s="83" t="s">
        <v>587</v>
      </c>
    </row>
    <row r="202" spans="2:15">
      <c r="B202" s="1" t="s">
        <v>744</v>
      </c>
    </row>
    <row r="203" spans="2:15">
      <c r="B203" s="312" t="s">
        <v>590</v>
      </c>
      <c r="C203" s="298">
        <v>2024</v>
      </c>
      <c r="D203" s="298">
        <v>2023</v>
      </c>
      <c r="E203" s="298">
        <v>2022</v>
      </c>
      <c r="F203" s="298">
        <v>2021</v>
      </c>
      <c r="G203" s="298">
        <v>2020</v>
      </c>
      <c r="H203" s="298">
        <v>2019</v>
      </c>
      <c r="I203" s="298">
        <v>2018</v>
      </c>
      <c r="J203" s="298">
        <v>2017</v>
      </c>
      <c r="K203" s="298">
        <v>2016</v>
      </c>
      <c r="L203" s="298">
        <v>2015</v>
      </c>
      <c r="M203" s="298">
        <v>2014</v>
      </c>
      <c r="N203" s="56"/>
      <c r="O203" s="56"/>
    </row>
    <row r="204" spans="2:15" ht="15" thickBot="1">
      <c r="B204" s="95" t="s">
        <v>1620</v>
      </c>
      <c r="C204" s="22">
        <v>307898</v>
      </c>
      <c r="D204" s="44">
        <v>272387</v>
      </c>
      <c r="E204" s="44">
        <v>292641</v>
      </c>
      <c r="F204" s="44">
        <v>241219</v>
      </c>
      <c r="G204" s="44">
        <v>225228</v>
      </c>
      <c r="H204" s="44">
        <v>225850</v>
      </c>
      <c r="I204" s="44">
        <v>211746</v>
      </c>
      <c r="J204" s="44">
        <v>202849</v>
      </c>
      <c r="K204" s="44">
        <v>206855</v>
      </c>
      <c r="L204" s="44">
        <v>208992</v>
      </c>
      <c r="M204" s="44">
        <v>193603</v>
      </c>
      <c r="N204" s="39"/>
      <c r="O204" s="39"/>
    </row>
    <row r="205" spans="2:15" ht="15" thickBot="1">
      <c r="B205" s="95" t="s">
        <v>32</v>
      </c>
      <c r="C205" s="22">
        <v>10449</v>
      </c>
      <c r="D205" s="44">
        <v>10682</v>
      </c>
      <c r="E205" s="44">
        <v>12458</v>
      </c>
      <c r="F205" s="44">
        <v>9968</v>
      </c>
      <c r="G205" s="44">
        <v>7874</v>
      </c>
      <c r="H205" s="44">
        <v>9381</v>
      </c>
      <c r="I205" s="44">
        <v>9937</v>
      </c>
      <c r="J205" s="44">
        <v>9286</v>
      </c>
      <c r="K205" s="44">
        <v>10206</v>
      </c>
      <c r="L205" s="44">
        <v>10126</v>
      </c>
      <c r="M205" s="44">
        <v>8100</v>
      </c>
      <c r="N205" s="39"/>
      <c r="O205" s="39"/>
    </row>
    <row r="206" spans="2:15" ht="15" thickBot="1">
      <c r="B206" s="95" t="s">
        <v>20</v>
      </c>
      <c r="C206" s="22">
        <v>10227</v>
      </c>
      <c r="D206" s="44">
        <v>10110</v>
      </c>
      <c r="E206" s="44">
        <v>11034</v>
      </c>
      <c r="F206" s="44">
        <v>7943</v>
      </c>
      <c r="G206" s="44">
        <v>4973</v>
      </c>
      <c r="H206" s="44">
        <v>5738</v>
      </c>
      <c r="I206" s="44">
        <v>6269</v>
      </c>
      <c r="J206" s="44">
        <v>6447</v>
      </c>
      <c r="K206" s="44">
        <v>7068</v>
      </c>
      <c r="L206" s="44">
        <v>7962</v>
      </c>
      <c r="M206" s="44">
        <v>7582</v>
      </c>
      <c r="N206" s="39"/>
      <c r="O206" s="39"/>
    </row>
    <row r="207" spans="2:15" ht="15" thickBot="1">
      <c r="B207" s="95" t="s">
        <v>17</v>
      </c>
      <c r="C207" s="22">
        <v>17647</v>
      </c>
      <c r="D207" s="44">
        <v>12137</v>
      </c>
      <c r="E207" s="44">
        <v>11034</v>
      </c>
      <c r="F207" s="44">
        <v>7916</v>
      </c>
      <c r="G207" s="44">
        <v>5363</v>
      </c>
      <c r="H207" s="44">
        <v>7230</v>
      </c>
      <c r="I207" s="44">
        <v>6828</v>
      </c>
      <c r="J207" s="44">
        <v>6708</v>
      </c>
      <c r="K207" s="44">
        <v>6399</v>
      </c>
      <c r="L207" s="44">
        <v>6682</v>
      </c>
      <c r="M207" s="44">
        <v>5718</v>
      </c>
      <c r="N207" s="39"/>
      <c r="O207" s="39"/>
    </row>
    <row r="208" spans="2:15" ht="15" thickBot="1">
      <c r="B208" s="95" t="s">
        <v>13</v>
      </c>
      <c r="C208" s="22">
        <v>7243</v>
      </c>
      <c r="D208" s="44">
        <v>7341</v>
      </c>
      <c r="E208" s="44">
        <v>8645</v>
      </c>
      <c r="F208" s="44">
        <v>7878</v>
      </c>
      <c r="G208" s="44">
        <v>6609</v>
      </c>
      <c r="H208" s="44">
        <v>7575</v>
      </c>
      <c r="I208" s="44">
        <v>7791</v>
      </c>
      <c r="J208" s="44">
        <v>6203</v>
      </c>
      <c r="K208" s="44">
        <v>5280</v>
      </c>
      <c r="L208" s="44">
        <v>5620</v>
      </c>
      <c r="M208" s="44">
        <v>6098</v>
      </c>
      <c r="N208" s="39"/>
      <c r="O208" s="39"/>
    </row>
    <row r="209" spans="2:15" ht="15" thickBot="1">
      <c r="B209" s="95" t="s">
        <v>736</v>
      </c>
      <c r="C209" s="22">
        <v>1388</v>
      </c>
      <c r="D209" s="44">
        <v>1998</v>
      </c>
      <c r="E209" s="44">
        <v>5010</v>
      </c>
      <c r="F209" s="44">
        <v>7011</v>
      </c>
      <c r="G209" s="44">
        <v>7887</v>
      </c>
      <c r="H209" s="44">
        <v>10828</v>
      </c>
      <c r="I209" s="44">
        <v>10917</v>
      </c>
      <c r="J209" s="44">
        <v>14258</v>
      </c>
      <c r="K209" s="44">
        <v>14903</v>
      </c>
      <c r="L209" s="44">
        <v>20855</v>
      </c>
      <c r="M209" s="44">
        <v>34190</v>
      </c>
      <c r="N209" s="39"/>
      <c r="O209" s="39"/>
    </row>
    <row r="210" spans="2:15" ht="15" thickBot="1">
      <c r="B210" s="95" t="s">
        <v>15</v>
      </c>
      <c r="C210" s="22">
        <v>6429</v>
      </c>
      <c r="D210" s="44">
        <v>5047</v>
      </c>
      <c r="E210" s="44">
        <v>5517</v>
      </c>
      <c r="F210" s="44">
        <v>4378</v>
      </c>
      <c r="G210" s="44">
        <v>3246</v>
      </c>
      <c r="H210" s="44">
        <v>2625</v>
      </c>
      <c r="I210" s="44">
        <v>1892</v>
      </c>
      <c r="J210" s="44">
        <v>911</v>
      </c>
      <c r="K210" s="44">
        <v>695</v>
      </c>
      <c r="L210" s="44">
        <v>165</v>
      </c>
      <c r="M210" s="44">
        <v>155</v>
      </c>
      <c r="N210" s="39"/>
      <c r="O210" s="39"/>
    </row>
    <row r="211" spans="2:15" ht="15" thickBot="1">
      <c r="B211" s="95" t="s">
        <v>12</v>
      </c>
      <c r="C211" s="22">
        <v>2111</v>
      </c>
      <c r="D211" s="44">
        <v>1983</v>
      </c>
      <c r="E211" s="44">
        <v>2492</v>
      </c>
      <c r="F211" s="44">
        <v>2293</v>
      </c>
      <c r="G211" s="44">
        <v>1651</v>
      </c>
      <c r="H211" s="44">
        <v>1660</v>
      </c>
      <c r="I211" s="44">
        <v>1401</v>
      </c>
      <c r="J211" s="44">
        <v>1484</v>
      </c>
      <c r="K211" s="44">
        <v>1624</v>
      </c>
      <c r="L211" s="44">
        <v>1111</v>
      </c>
      <c r="M211" s="44">
        <v>460</v>
      </c>
      <c r="N211" s="39"/>
      <c r="O211" s="39"/>
    </row>
    <row r="212" spans="2:15" ht="15" thickBot="1">
      <c r="B212" s="95" t="s">
        <v>746</v>
      </c>
      <c r="C212" s="22">
        <v>2398</v>
      </c>
      <c r="D212" s="44">
        <v>1776</v>
      </c>
      <c r="E212" s="44">
        <v>2353</v>
      </c>
      <c r="F212" s="44">
        <v>2195</v>
      </c>
      <c r="G212" s="44">
        <v>1177</v>
      </c>
      <c r="H212" s="44">
        <v>1396</v>
      </c>
      <c r="I212" s="44">
        <v>1065</v>
      </c>
      <c r="J212" s="44">
        <v>826</v>
      </c>
      <c r="K212" s="44">
        <v>545</v>
      </c>
      <c r="L212" s="44">
        <v>452</v>
      </c>
      <c r="M212" s="44">
        <v>325</v>
      </c>
      <c r="N212" s="39"/>
      <c r="O212" s="39"/>
    </row>
    <row r="213" spans="2:15" ht="15" thickBot="1">
      <c r="B213" s="95" t="s">
        <v>327</v>
      </c>
      <c r="C213" s="22">
        <v>3787</v>
      </c>
      <c r="D213" s="44">
        <v>2811</v>
      </c>
      <c r="E213" s="44">
        <v>2452</v>
      </c>
      <c r="F213" s="44">
        <v>1616</v>
      </c>
      <c r="G213" s="44">
        <v>1022</v>
      </c>
      <c r="H213" s="44">
        <v>652</v>
      </c>
      <c r="I213" s="44">
        <v>378</v>
      </c>
      <c r="J213" s="44">
        <v>253</v>
      </c>
      <c r="K213" s="44">
        <v>280</v>
      </c>
      <c r="L213" s="44">
        <v>193</v>
      </c>
      <c r="M213" s="44">
        <v>79</v>
      </c>
      <c r="N213" s="39"/>
      <c r="O213" s="39"/>
    </row>
    <row r="214" spans="2:15" ht="15" thickBot="1">
      <c r="B214" s="95" t="s">
        <v>21</v>
      </c>
      <c r="C214" s="22">
        <v>1172</v>
      </c>
      <c r="D214" s="44">
        <v>1635</v>
      </c>
      <c r="E214" s="44">
        <v>2024</v>
      </c>
      <c r="F214" s="44">
        <v>1598</v>
      </c>
      <c r="G214" s="44">
        <v>1121</v>
      </c>
      <c r="H214" s="44">
        <v>590</v>
      </c>
      <c r="I214" s="44">
        <v>316</v>
      </c>
      <c r="J214" s="44">
        <v>82</v>
      </c>
      <c r="K214" s="44">
        <v>2</v>
      </c>
      <c r="L214" s="44">
        <v>13</v>
      </c>
      <c r="M214" s="44">
        <v>178</v>
      </c>
      <c r="N214" s="39"/>
      <c r="O214" s="39"/>
    </row>
    <row r="215" spans="2:15" ht="15" thickBot="1">
      <c r="B215" s="95" t="s">
        <v>738</v>
      </c>
      <c r="C215" s="22">
        <v>2073</v>
      </c>
      <c r="D215" s="44">
        <v>1903</v>
      </c>
      <c r="E215" s="44">
        <v>2058</v>
      </c>
      <c r="F215" s="44">
        <v>1530</v>
      </c>
      <c r="G215" s="44">
        <v>1267</v>
      </c>
      <c r="H215" s="44">
        <v>1496</v>
      </c>
      <c r="I215" s="44">
        <v>1388</v>
      </c>
      <c r="J215" s="44">
        <v>1376</v>
      </c>
      <c r="K215" s="44">
        <v>1166</v>
      </c>
      <c r="L215" s="44">
        <v>1052</v>
      </c>
      <c r="M215" s="44">
        <v>1020</v>
      </c>
      <c r="N215" s="39"/>
      <c r="O215" s="39"/>
    </row>
    <row r="216" spans="2:15" ht="15" thickBot="1">
      <c r="B216" s="95" t="s">
        <v>745</v>
      </c>
      <c r="C216" s="22">
        <v>3890</v>
      </c>
      <c r="D216" s="44">
        <v>4058</v>
      </c>
      <c r="E216" s="44">
        <v>3004</v>
      </c>
      <c r="F216" s="44">
        <v>1517</v>
      </c>
      <c r="G216" s="44">
        <v>1293</v>
      </c>
      <c r="H216" s="44">
        <v>1594</v>
      </c>
      <c r="I216" s="44">
        <v>1355</v>
      </c>
      <c r="J216" s="44">
        <v>1137</v>
      </c>
      <c r="K216" s="44">
        <v>596</v>
      </c>
      <c r="L216" s="44">
        <v>626</v>
      </c>
      <c r="M216" s="44">
        <v>287</v>
      </c>
      <c r="N216" s="39"/>
      <c r="O216" s="39"/>
    </row>
    <row r="217" spans="2:15" ht="15" thickBot="1">
      <c r="B217" s="95" t="s">
        <v>26</v>
      </c>
      <c r="C217" s="22">
        <v>1658</v>
      </c>
      <c r="D217" s="44">
        <v>1080</v>
      </c>
      <c r="E217" s="44">
        <v>1167</v>
      </c>
      <c r="F217" s="44">
        <v>1467</v>
      </c>
      <c r="G217" s="44">
        <v>1482</v>
      </c>
      <c r="H217" s="44">
        <v>1994</v>
      </c>
      <c r="I217" s="44">
        <v>2254</v>
      </c>
      <c r="J217" s="44">
        <v>2637</v>
      </c>
      <c r="K217" s="44">
        <v>2352</v>
      </c>
      <c r="L217" s="44">
        <v>2735</v>
      </c>
      <c r="M217" s="44">
        <v>2815</v>
      </c>
      <c r="N217" s="39"/>
      <c r="O217" s="39"/>
    </row>
    <row r="218" spans="2:15" ht="15" thickBot="1">
      <c r="B218" s="95" t="s">
        <v>709</v>
      </c>
      <c r="C218" s="22">
        <v>1964</v>
      </c>
      <c r="D218" s="44">
        <v>2044</v>
      </c>
      <c r="E218" s="44">
        <v>1785</v>
      </c>
      <c r="F218" s="44">
        <v>1424</v>
      </c>
      <c r="G218" s="44">
        <v>1199</v>
      </c>
      <c r="H218" s="44">
        <v>1524</v>
      </c>
      <c r="I218" s="44">
        <v>2027</v>
      </c>
      <c r="J218" s="44">
        <v>2169</v>
      </c>
      <c r="K218" s="44">
        <v>2739</v>
      </c>
      <c r="L218" s="44">
        <v>1945</v>
      </c>
      <c r="M218" s="44">
        <v>1415</v>
      </c>
      <c r="N218" s="39"/>
      <c r="O218" s="39"/>
    </row>
    <row r="219" spans="2:15" ht="15" thickBot="1">
      <c r="B219" s="95" t="s">
        <v>836</v>
      </c>
      <c r="C219" s="22">
        <v>700</v>
      </c>
      <c r="D219" s="44">
        <v>522</v>
      </c>
      <c r="E219" s="44">
        <v>1306</v>
      </c>
      <c r="F219" s="44">
        <v>1350</v>
      </c>
      <c r="G219" s="44">
        <v>595</v>
      </c>
      <c r="H219" s="44">
        <v>854</v>
      </c>
      <c r="I219" s="44">
        <v>709</v>
      </c>
      <c r="J219" s="44">
        <v>169</v>
      </c>
      <c r="K219" s="44">
        <v>276</v>
      </c>
      <c r="L219" s="44">
        <v>293</v>
      </c>
      <c r="M219" s="44">
        <v>335</v>
      </c>
      <c r="N219" s="39"/>
      <c r="O219" s="39"/>
    </row>
    <row r="220" spans="2:15" ht="15" thickBot="1">
      <c r="B220" s="95" t="s">
        <v>739</v>
      </c>
      <c r="C220" s="22">
        <v>788</v>
      </c>
      <c r="D220" s="44">
        <v>654</v>
      </c>
      <c r="E220" s="44">
        <v>1061</v>
      </c>
      <c r="F220" s="44">
        <v>1260</v>
      </c>
      <c r="G220" s="44">
        <v>979</v>
      </c>
      <c r="H220" s="44">
        <v>893</v>
      </c>
      <c r="I220" s="44">
        <v>1389</v>
      </c>
      <c r="J220" s="44">
        <v>1646</v>
      </c>
      <c r="K220" s="44">
        <v>1162</v>
      </c>
      <c r="L220" s="44">
        <v>1246</v>
      </c>
      <c r="M220" s="44">
        <v>2650</v>
      </c>
      <c r="N220" s="39"/>
      <c r="O220" s="39"/>
    </row>
    <row r="221" spans="2:15">
      <c r="B221" s="117" t="s">
        <v>129</v>
      </c>
      <c r="C221" s="163">
        <f>C222-C220-C219-C218-C217-C216-C215-C214-C213-C212-C211-C210-C209-C208-C207-C206-C205-C204</f>
        <v>11002</v>
      </c>
      <c r="D221" s="39">
        <f>D222-D220-D219-D218-D217-D216-D215-D214-D213-D212-D211-D210-D209-D208-D207-D206-D205-D204</f>
        <v>9195</v>
      </c>
      <c r="E221" s="39">
        <f>E222-E220-E219-E218-E217-E216-E215-E214-E213-E212-E211-E210-E209-E208-E207-E206-E205-E204</f>
        <v>9180</v>
      </c>
      <c r="F221" s="39">
        <v>7927</v>
      </c>
      <c r="G221" s="39">
        <v>8977</v>
      </c>
      <c r="H221" s="39">
        <v>13157</v>
      </c>
      <c r="I221" s="109">
        <v>14981</v>
      </c>
      <c r="J221" s="109">
        <v>15443</v>
      </c>
      <c r="K221" s="109">
        <v>12778</v>
      </c>
      <c r="L221" s="39">
        <v>14161</v>
      </c>
      <c r="M221" s="39">
        <v>14531</v>
      </c>
      <c r="N221" s="39"/>
      <c r="O221" s="39"/>
    </row>
    <row r="222" spans="2:15">
      <c r="B222" s="312" t="s">
        <v>52</v>
      </c>
      <c r="C222" s="1373">
        <v>392824</v>
      </c>
      <c r="D222" s="1373">
        <v>347363</v>
      </c>
      <c r="E222" s="73">
        <v>375221</v>
      </c>
      <c r="F222" s="307">
        <v>310496</v>
      </c>
      <c r="G222" s="307">
        <v>281937</v>
      </c>
      <c r="H222" s="307">
        <v>295034</v>
      </c>
      <c r="I222" s="307">
        <v>282636</v>
      </c>
      <c r="J222" s="307">
        <v>273885</v>
      </c>
      <c r="K222" s="307">
        <v>274925</v>
      </c>
      <c r="L222" s="1012">
        <v>284234</v>
      </c>
      <c r="M222" s="1012">
        <v>279537</v>
      </c>
      <c r="N222" s="972"/>
      <c r="O222" s="126"/>
    </row>
    <row r="223" spans="2:15">
      <c r="B223" s="358" t="s">
        <v>2019</v>
      </c>
      <c r="C223" s="365"/>
      <c r="D223" s="365"/>
      <c r="E223" s="365"/>
      <c r="F223" s="365"/>
      <c r="G223" s="365"/>
      <c r="H223" s="365"/>
      <c r="I223" s="365"/>
      <c r="J223" s="365"/>
      <c r="K223" s="365"/>
      <c r="L223" s="365"/>
      <c r="M223" s="365"/>
      <c r="N223" s="82"/>
    </row>
    <row r="224" spans="2:15">
      <c r="B224" s="366"/>
      <c r="K224" s="367"/>
      <c r="L224" s="367"/>
      <c r="M224" s="367"/>
    </row>
  </sheetData>
  <mergeCells count="1">
    <mergeCell ref="C83:D83"/>
  </mergeCells>
  <phoneticPr fontId="138" type="noConversion"/>
  <hyperlinks>
    <hyperlink ref="B20" r:id="rId1" display="Source: Worldbank, 2017, World Development Indicators " xr:uid="{00000000-0004-0000-0800-000000000000}"/>
    <hyperlink ref="B107" r:id="rId2" display="Source: ALADI, Sistema de Información de Comercio Exterior , Ascociacion Latinoamericana de Intergracion until 2015, from 2016  ITC Trade map" xr:uid="{00000000-0004-0000-0800-000003000000}"/>
    <hyperlink ref="B117" r:id="rId3" display="Source:  ITC Trade map, 2020" xr:uid="{00000000-0004-0000-0800-000004000000}"/>
    <hyperlink ref="B127" r:id="rId4" display="Source: ALADI, Sistema de Información de Comercio Exterior , Ascociacion Latinoamericana de Intergracion until 2015, from 2016  ITC Trade map" xr:uid="{00000000-0004-0000-0800-000005000000}"/>
    <hyperlink ref="B179" r:id="rId5" display="Source: ITC Trade map, 2019" xr:uid="{00000000-0004-0000-0800-000006000000}"/>
    <hyperlink ref="B198" r:id="rId6" display="Source: ALADI, Sistema de Información de Comercio Exterior , Ascociacion Latinoamericana de Intergracion until 2015, from 2016  ITC Trade map" xr:uid="{00000000-0004-0000-0800-000007000000}"/>
    <hyperlink ref="B223" r:id="rId7" display="Source: ITC Trade map, 2019" xr:uid="{00000000-0004-0000-0800-000008000000}"/>
  </hyperlinks>
  <pageMargins left="0.7" right="0.7" top="0.78740157499999996" bottom="0.78740157499999996" header="0.3" footer="0.3"/>
  <pageSetup paperSize="9" orientation="portrait" r:id="rId8"/>
  <drawing r:id="rId9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B1:F17"/>
  <sheetViews>
    <sheetView showGridLines="0" zoomScale="112" zoomScaleNormal="112" workbookViewId="0">
      <selection activeCell="C14" sqref="C14:C15"/>
    </sheetView>
  </sheetViews>
  <sheetFormatPr defaultColWidth="11.44140625" defaultRowHeight="14.4"/>
  <cols>
    <col min="1" max="1" width="3.44140625" customWidth="1"/>
    <col min="2" max="2" width="25.109375" customWidth="1"/>
    <col min="3" max="3" width="10.33203125" customWidth="1"/>
    <col min="4" max="12" width="8.6640625" customWidth="1"/>
  </cols>
  <sheetData>
    <row r="1" spans="2:6" ht="15" customHeight="1"/>
    <row r="2" spans="2:6" ht="15" customHeight="1">
      <c r="B2" s="83"/>
      <c r="C2" s="83"/>
    </row>
    <row r="3" spans="2:6" ht="15" customHeight="1">
      <c r="B3" s="83" t="s">
        <v>132</v>
      </c>
      <c r="C3" s="83"/>
    </row>
    <row r="4" spans="2:6" ht="15" customHeight="1">
      <c r="B4" s="83"/>
      <c r="C4" s="83"/>
    </row>
    <row r="5" spans="2:6" ht="14.25" customHeight="1">
      <c r="B5" s="83" t="s">
        <v>56</v>
      </c>
      <c r="C5" s="83"/>
    </row>
    <row r="6" spans="2:6" ht="15" customHeight="1">
      <c r="B6" s="93" t="s">
        <v>46</v>
      </c>
      <c r="C6" s="93"/>
    </row>
    <row r="7" spans="2:6" ht="15" customHeight="1">
      <c r="B7" s="194"/>
      <c r="C7" s="1444">
        <v>2018</v>
      </c>
      <c r="D7" s="1444">
        <v>2017</v>
      </c>
      <c r="E7" s="1444">
        <v>2016</v>
      </c>
    </row>
    <row r="8" spans="2:6" ht="15" customHeight="1" thickBot="1">
      <c r="B8" s="49" t="s">
        <v>323</v>
      </c>
      <c r="C8" s="144">
        <v>3600</v>
      </c>
      <c r="D8" s="203">
        <v>3600</v>
      </c>
      <c r="E8" s="203">
        <v>3600</v>
      </c>
      <c r="F8" s="206"/>
    </row>
    <row r="9" spans="2:6">
      <c r="B9" s="10" t="s">
        <v>472</v>
      </c>
      <c r="C9" s="195"/>
      <c r="D9" s="142"/>
      <c r="E9" s="142"/>
      <c r="F9" s="142"/>
    </row>
    <row r="11" spans="2:6" ht="15.6">
      <c r="B11" s="83" t="s">
        <v>56</v>
      </c>
      <c r="C11" s="83"/>
    </row>
    <row r="12" spans="2:6">
      <c r="B12" s="93" t="s">
        <v>2411</v>
      </c>
      <c r="C12" s="93"/>
    </row>
    <row r="13" spans="2:6">
      <c r="B13" s="194"/>
      <c r="C13" s="228" t="s">
        <v>1970</v>
      </c>
      <c r="D13" s="228">
        <v>2022</v>
      </c>
      <c r="E13" s="228">
        <v>2021</v>
      </c>
      <c r="F13" s="228">
        <v>2020</v>
      </c>
    </row>
    <row r="14" spans="2:6" ht="15" thickBot="1">
      <c r="B14" s="49" t="s">
        <v>1603</v>
      </c>
      <c r="C14" s="1302">
        <v>38621</v>
      </c>
      <c r="D14" s="204">
        <v>45169</v>
      </c>
      <c r="E14" s="204">
        <v>37103</v>
      </c>
      <c r="F14" s="204">
        <v>24689</v>
      </c>
    </row>
    <row r="15" spans="2:6" ht="15" thickBot="1">
      <c r="B15" s="49" t="s">
        <v>1379</v>
      </c>
      <c r="C15" s="1445">
        <v>79947</v>
      </c>
      <c r="D15" s="204">
        <v>76797</v>
      </c>
      <c r="E15" s="204">
        <v>91123</v>
      </c>
      <c r="F15" s="204">
        <v>67965</v>
      </c>
    </row>
    <row r="16" spans="2:6">
      <c r="B16" s="82" t="s">
        <v>1971</v>
      </c>
    </row>
    <row r="17" spans="2:2">
      <c r="B17" s="193" t="s">
        <v>2412</v>
      </c>
    </row>
  </sheetData>
  <hyperlinks>
    <hyperlink ref="B9" r:id="rId1" xr:uid="{00000000-0004-0000-0900-000000000000}"/>
    <hyperlink ref="B17" r:id="rId2" display="Source: Costa Rican Agricultural Sector Information System, Agricultural Statistical Bulletin No. 34 (2020-23) 2024" xr:uid="{EA638CF1-E951-4352-BFB5-3E8A760D20A9}"/>
  </hyperlinks>
  <pageMargins left="0.7" right="0.7" top="0.78740157499999996" bottom="0.78740157499999996" header="0.3" footer="0.3"/>
  <pageSetup paperSize="9" orientation="portrait"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B2:AF145"/>
  <sheetViews>
    <sheetView topLeftCell="A68" zoomScaleNormal="100" workbookViewId="0">
      <selection activeCell="F83" sqref="F83"/>
    </sheetView>
  </sheetViews>
  <sheetFormatPr defaultColWidth="11.44140625" defaultRowHeight="14.4"/>
  <cols>
    <col min="2" max="2" width="25.109375" customWidth="1"/>
    <col min="3" max="5" width="11.88671875" customWidth="1"/>
    <col min="6" max="6" width="13.6640625" customWidth="1"/>
    <col min="7" max="7" width="11.88671875" customWidth="1"/>
    <col min="8" max="8" width="11.6640625" customWidth="1"/>
    <col min="9" max="12" width="11.88671875" customWidth="1"/>
    <col min="15" max="15" width="6" customWidth="1"/>
    <col min="16" max="16" width="15.44140625" customWidth="1"/>
    <col min="17" max="17" width="11.44140625" customWidth="1"/>
    <col min="33" max="33" width="11.44140625" customWidth="1"/>
    <col min="35" max="35" width="11.44140625" customWidth="1"/>
    <col min="38" max="38" width="11.44140625" customWidth="1"/>
  </cols>
  <sheetData>
    <row r="2" spans="2:12" ht="15.6">
      <c r="B2" s="83" t="s">
        <v>747</v>
      </c>
    </row>
    <row r="3" spans="2:12" ht="15.6">
      <c r="B3" s="83"/>
    </row>
    <row r="4" spans="2:12" ht="15.6">
      <c r="B4" s="83"/>
    </row>
    <row r="5" spans="2:12" ht="15.6">
      <c r="B5" s="83" t="s">
        <v>2417</v>
      </c>
      <c r="I5" s="86" t="s">
        <v>748</v>
      </c>
    </row>
    <row r="6" spans="2:12" ht="15.6">
      <c r="B6" s="83"/>
      <c r="I6" s="290" t="s">
        <v>749</v>
      </c>
    </row>
    <row r="7" spans="2:12">
      <c r="B7" s="13" t="s">
        <v>530</v>
      </c>
      <c r="C7" s="239">
        <v>6</v>
      </c>
      <c r="D7" s="240" t="s">
        <v>531</v>
      </c>
      <c r="I7" s="290"/>
    </row>
    <row r="8" spans="2:12">
      <c r="B8" s="13" t="s">
        <v>532</v>
      </c>
      <c r="C8" s="247" t="s">
        <v>750</v>
      </c>
      <c r="D8" s="240" t="s">
        <v>533</v>
      </c>
      <c r="I8" s="3"/>
      <c r="J8" s="3"/>
      <c r="K8" s="3"/>
      <c r="L8" s="3"/>
    </row>
    <row r="9" spans="2:12" ht="45.75" customHeight="1">
      <c r="B9" s="242" t="s">
        <v>534</v>
      </c>
      <c r="C9" s="243">
        <v>148</v>
      </c>
      <c r="D9" s="244" t="s">
        <v>535</v>
      </c>
      <c r="I9" s="368" t="s">
        <v>751</v>
      </c>
      <c r="J9" s="369" t="s">
        <v>56</v>
      </c>
      <c r="K9" s="369" t="s">
        <v>70</v>
      </c>
      <c r="L9" s="369" t="s">
        <v>752</v>
      </c>
    </row>
    <row r="10" spans="2:12" ht="15" customHeight="1">
      <c r="B10" s="245"/>
      <c r="C10" s="246"/>
      <c r="D10" s="240"/>
      <c r="I10" t="s">
        <v>2410</v>
      </c>
      <c r="J10">
        <v>402</v>
      </c>
    </row>
    <row r="11" spans="2:12" ht="15" customHeight="1">
      <c r="B11" s="245"/>
      <c r="C11" s="246"/>
      <c r="D11" s="240"/>
      <c r="I11" s="670">
        <v>2023</v>
      </c>
      <c r="J11">
        <v>476</v>
      </c>
      <c r="K11">
        <v>107</v>
      </c>
      <c r="L11">
        <v>366</v>
      </c>
    </row>
    <row r="12" spans="2:12" ht="15.6">
      <c r="B12" s="13" t="s">
        <v>753</v>
      </c>
      <c r="C12" s="247">
        <v>441</v>
      </c>
      <c r="D12" s="240" t="s">
        <v>537</v>
      </c>
      <c r="I12" s="670">
        <v>2022</v>
      </c>
      <c r="J12">
        <v>477</v>
      </c>
      <c r="K12" s="371">
        <v>120</v>
      </c>
      <c r="L12" s="371">
        <v>354</v>
      </c>
    </row>
    <row r="13" spans="2:12">
      <c r="B13" s="245" t="s">
        <v>538</v>
      </c>
      <c r="C13" s="246">
        <v>73790</v>
      </c>
      <c r="D13" s="240" t="s">
        <v>539</v>
      </c>
      <c r="I13" s="370">
        <v>2021</v>
      </c>
      <c r="J13" s="371">
        <v>478</v>
      </c>
      <c r="K13" s="371">
        <v>123</v>
      </c>
      <c r="L13" s="371">
        <v>357</v>
      </c>
    </row>
    <row r="14" spans="2:12">
      <c r="B14" s="13" t="s">
        <v>540</v>
      </c>
      <c r="C14" s="247">
        <v>492</v>
      </c>
      <c r="D14" s="240" t="s">
        <v>537</v>
      </c>
      <c r="I14" s="370">
        <v>2020</v>
      </c>
      <c r="J14" s="371">
        <v>440</v>
      </c>
      <c r="K14" s="371">
        <v>106</v>
      </c>
      <c r="L14" s="371">
        <v>351</v>
      </c>
    </row>
    <row r="15" spans="2:12">
      <c r="B15" s="245" t="s">
        <v>541</v>
      </c>
      <c r="C15" s="246"/>
      <c r="D15" s="240"/>
      <c r="I15" s="370">
        <v>2019</v>
      </c>
      <c r="J15" s="371">
        <v>439</v>
      </c>
      <c r="K15" s="371">
        <v>79</v>
      </c>
      <c r="L15" s="371">
        <v>355</v>
      </c>
    </row>
    <row r="16" spans="2:12" ht="26.4">
      <c r="B16" s="245" t="s">
        <v>538</v>
      </c>
      <c r="C16" s="246">
        <v>82240</v>
      </c>
      <c r="D16" s="240" t="s">
        <v>542</v>
      </c>
      <c r="I16" s="370">
        <v>2018</v>
      </c>
      <c r="J16" s="371">
        <v>466</v>
      </c>
      <c r="K16" s="371">
        <v>99</v>
      </c>
      <c r="L16" s="371">
        <v>362</v>
      </c>
    </row>
    <row r="17" spans="2:32" ht="15" customHeight="1">
      <c r="B17" s="248"/>
      <c r="C17" s="249"/>
      <c r="D17" s="244"/>
      <c r="I17" s="370">
        <v>2017</v>
      </c>
      <c r="J17" s="371">
        <v>461</v>
      </c>
      <c r="K17" s="371">
        <v>90</v>
      </c>
      <c r="L17" s="371">
        <v>361</v>
      </c>
    </row>
    <row r="18" spans="2:32">
      <c r="B18" s="13" t="s">
        <v>543</v>
      </c>
      <c r="C18" s="239">
        <v>3.7</v>
      </c>
      <c r="D18" s="240" t="s">
        <v>544</v>
      </c>
      <c r="I18" s="370">
        <v>2016</v>
      </c>
      <c r="J18" s="371">
        <v>449</v>
      </c>
      <c r="K18" s="371">
        <v>73</v>
      </c>
      <c r="L18" s="371">
        <v>368</v>
      </c>
    </row>
    <row r="19" spans="2:32" ht="26.4">
      <c r="B19" s="13" t="s">
        <v>545</v>
      </c>
      <c r="C19" s="239">
        <v>3.2</v>
      </c>
      <c r="D19" s="240" t="s">
        <v>546</v>
      </c>
      <c r="I19" s="370">
        <v>2015</v>
      </c>
      <c r="J19" s="371">
        <v>438</v>
      </c>
      <c r="K19" s="371">
        <v>82</v>
      </c>
      <c r="L19" s="371">
        <v>352</v>
      </c>
    </row>
    <row r="20" spans="2:32">
      <c r="B20" s="245"/>
      <c r="C20" s="246"/>
      <c r="D20" s="246"/>
      <c r="E20" s="246"/>
      <c r="F20" s="240"/>
      <c r="I20" s="370">
        <v>2014</v>
      </c>
      <c r="J20" s="371">
        <v>432</v>
      </c>
      <c r="K20" s="371">
        <v>54</v>
      </c>
      <c r="L20" s="371">
        <v>374</v>
      </c>
    </row>
    <row r="21" spans="2:32">
      <c r="B21" s="250" t="s">
        <v>712</v>
      </c>
      <c r="C21" s="251"/>
      <c r="D21" s="251"/>
      <c r="E21" s="251"/>
      <c r="F21" s="251"/>
      <c r="I21" s="370">
        <v>2013</v>
      </c>
      <c r="J21" s="371">
        <v>473</v>
      </c>
      <c r="K21" s="372">
        <v>59</v>
      </c>
      <c r="L21" s="372">
        <v>410</v>
      </c>
    </row>
    <row r="22" spans="2:32">
      <c r="B22" s="374" t="s">
        <v>2416</v>
      </c>
      <c r="C22" s="253"/>
      <c r="D22" s="253"/>
      <c r="E22" s="253"/>
      <c r="F22" s="82"/>
      <c r="I22" s="370">
        <v>2012</v>
      </c>
      <c r="J22" s="372">
        <v>488</v>
      </c>
      <c r="K22" s="372">
        <v>67</v>
      </c>
      <c r="L22" s="372">
        <v>417</v>
      </c>
    </row>
    <row r="23" spans="2:32">
      <c r="I23" s="375" t="s">
        <v>928</v>
      </c>
    </row>
    <row r="24" spans="2:32">
      <c r="I24" s="193" t="s">
        <v>754</v>
      </c>
    </row>
    <row r="27" spans="2:32" ht="15.6">
      <c r="B27" s="83" t="s">
        <v>56</v>
      </c>
      <c r="C27" s="1210"/>
      <c r="D27" s="1078"/>
      <c r="E27" s="83"/>
      <c r="F27" s="83"/>
      <c r="G27" s="83"/>
      <c r="H27" s="83"/>
      <c r="I27" s="83"/>
      <c r="J27" s="83"/>
      <c r="K27" s="83"/>
      <c r="L27" s="83"/>
      <c r="M27" s="376"/>
      <c r="N27" s="376"/>
      <c r="O27" s="376"/>
      <c r="P27" s="83" t="s">
        <v>56</v>
      </c>
      <c r="Q27" s="977"/>
      <c r="R27" s="1210"/>
      <c r="S27" s="977"/>
      <c r="T27" s="977"/>
      <c r="U27" s="977"/>
      <c r="V27" s="977"/>
      <c r="W27" s="977"/>
      <c r="X27" s="977"/>
      <c r="Y27" s="977"/>
      <c r="Z27" s="977"/>
      <c r="AA27" s="977"/>
      <c r="AB27" s="977"/>
      <c r="AC27" s="977"/>
      <c r="AD27" s="977"/>
    </row>
    <row r="28" spans="2:32">
      <c r="B28" s="93" t="s">
        <v>137</v>
      </c>
      <c r="C28" s="1"/>
      <c r="D28" s="1"/>
      <c r="E28" s="1"/>
      <c r="F28" s="1"/>
      <c r="G28" s="1"/>
      <c r="H28" s="1"/>
      <c r="I28" s="1"/>
      <c r="J28" s="1"/>
      <c r="K28" s="1"/>
      <c r="L28" s="1"/>
      <c r="P28" s="93" t="s">
        <v>355</v>
      </c>
      <c r="Q28" s="977"/>
      <c r="R28" s="977"/>
      <c r="S28" s="977"/>
      <c r="T28" s="977"/>
      <c r="U28" s="977"/>
      <c r="V28" s="977"/>
      <c r="W28" s="977"/>
      <c r="X28" s="977"/>
      <c r="Y28" s="977"/>
      <c r="Z28" s="977"/>
      <c r="AA28" s="977"/>
      <c r="AB28" s="977"/>
      <c r="AC28" s="977"/>
      <c r="AD28" s="977"/>
    </row>
    <row r="29" spans="2:32">
      <c r="B29" s="316"/>
      <c r="C29" s="317">
        <v>2024</v>
      </c>
      <c r="D29" s="317">
        <v>2023</v>
      </c>
      <c r="E29" s="317">
        <v>2022</v>
      </c>
      <c r="F29" s="317">
        <v>2021</v>
      </c>
      <c r="G29" s="317">
        <v>2020</v>
      </c>
      <c r="H29" s="317">
        <v>2019</v>
      </c>
      <c r="I29" s="317">
        <v>2018</v>
      </c>
      <c r="J29" s="317">
        <v>2017</v>
      </c>
      <c r="K29" s="317">
        <v>2016</v>
      </c>
      <c r="L29" s="317">
        <v>2015</v>
      </c>
      <c r="M29" s="317">
        <v>2014</v>
      </c>
      <c r="N29" s="479"/>
      <c r="O29" s="479"/>
      <c r="P29" s="316"/>
      <c r="Q29" s="317">
        <v>2024</v>
      </c>
      <c r="R29" s="317">
        <v>2023</v>
      </c>
      <c r="S29" s="317">
        <v>2022</v>
      </c>
      <c r="T29" s="317">
        <v>2021</v>
      </c>
      <c r="U29" s="317">
        <v>2020</v>
      </c>
      <c r="V29" s="317">
        <v>2019</v>
      </c>
      <c r="W29" s="317">
        <v>2018</v>
      </c>
      <c r="X29" s="317">
        <v>2017</v>
      </c>
      <c r="Y29" s="317">
        <v>2016</v>
      </c>
      <c r="Z29" s="317">
        <v>2015</v>
      </c>
      <c r="AA29" s="317">
        <v>2014</v>
      </c>
      <c r="AC29" s="479"/>
      <c r="AD29" s="479"/>
      <c r="AE29" s="479"/>
      <c r="AF29" s="479"/>
    </row>
    <row r="30" spans="2:32" ht="26.4">
      <c r="B30" s="377" t="s">
        <v>755</v>
      </c>
      <c r="C30" s="378">
        <f>C31+C32+C35+C36</f>
        <v>185</v>
      </c>
      <c r="D30" s="976">
        <f>D31+D32+D35+D36</f>
        <v>174</v>
      </c>
      <c r="E30" s="976">
        <f>E31+E32+E35+E36</f>
        <v>223</v>
      </c>
      <c r="F30" s="1083">
        <v>227</v>
      </c>
      <c r="G30" s="1083">
        <v>227</v>
      </c>
      <c r="H30" s="379">
        <v>247</v>
      </c>
      <c r="I30" s="379">
        <v>257</v>
      </c>
      <c r="J30" s="379">
        <v>264</v>
      </c>
      <c r="K30" s="379">
        <v>264</v>
      </c>
      <c r="L30" s="379">
        <v>300</v>
      </c>
      <c r="M30" s="379">
        <v>228</v>
      </c>
      <c r="N30" s="976"/>
      <c r="O30" s="976"/>
      <c r="P30" s="377" t="s">
        <v>756</v>
      </c>
      <c r="Q30" s="1201">
        <v>259</v>
      </c>
      <c r="R30" s="377">
        <v>276</v>
      </c>
      <c r="S30" s="379">
        <f>S31+S32+S35+S36</f>
        <v>316</v>
      </c>
      <c r="T30" s="1079">
        <v>291</v>
      </c>
      <c r="U30" s="1079">
        <v>307</v>
      </c>
      <c r="V30" s="379">
        <v>372</v>
      </c>
      <c r="W30" s="379">
        <v>383</v>
      </c>
      <c r="X30" s="379">
        <v>403</v>
      </c>
      <c r="Y30" s="379">
        <v>435</v>
      </c>
      <c r="Z30" s="379">
        <v>526</v>
      </c>
      <c r="AA30" s="379">
        <v>386</v>
      </c>
      <c r="AC30" s="976"/>
      <c r="AD30" s="976"/>
      <c r="AE30" s="976"/>
      <c r="AF30" s="976"/>
    </row>
    <row r="31" spans="2:32" ht="26.4">
      <c r="B31" s="326" t="s">
        <v>138</v>
      </c>
      <c r="C31" s="1203">
        <v>1</v>
      </c>
      <c r="D31" s="391">
        <v>1</v>
      </c>
      <c r="E31" s="381">
        <v>1</v>
      </c>
      <c r="F31" s="1081">
        <v>1</v>
      </c>
      <c r="G31" s="1081">
        <v>1</v>
      </c>
      <c r="H31" s="380">
        <v>1</v>
      </c>
      <c r="I31" s="380">
        <v>1</v>
      </c>
      <c r="J31" s="380">
        <v>2</v>
      </c>
      <c r="K31" s="380">
        <v>1</v>
      </c>
      <c r="L31" s="380">
        <v>6</v>
      </c>
      <c r="M31" s="380">
        <v>2</v>
      </c>
      <c r="N31" s="385"/>
      <c r="O31" s="385"/>
      <c r="P31" s="326" t="s">
        <v>138</v>
      </c>
      <c r="Q31" s="1202">
        <v>17</v>
      </c>
      <c r="R31" s="388">
        <v>17</v>
      </c>
      <c r="S31" s="380">
        <v>19</v>
      </c>
      <c r="T31" s="1080">
        <v>12</v>
      </c>
      <c r="U31" s="1080">
        <v>13</v>
      </c>
      <c r="V31" s="380">
        <v>11</v>
      </c>
      <c r="W31" s="380">
        <v>10</v>
      </c>
      <c r="X31" s="380">
        <v>11</v>
      </c>
      <c r="Y31" s="380">
        <v>15</v>
      </c>
      <c r="Z31" s="380">
        <v>21</v>
      </c>
      <c r="AA31" s="380">
        <v>38</v>
      </c>
      <c r="AC31" s="385"/>
      <c r="AD31" s="385"/>
      <c r="AE31" s="385"/>
      <c r="AF31" s="385"/>
    </row>
    <row r="32" spans="2:32">
      <c r="B32" s="326" t="s">
        <v>61</v>
      </c>
      <c r="C32" s="1202">
        <v>141</v>
      </c>
      <c r="D32" s="388">
        <v>139</v>
      </c>
      <c r="E32" s="380">
        <v>174</v>
      </c>
      <c r="F32" s="1080">
        <v>188</v>
      </c>
      <c r="G32" s="1080">
        <v>186</v>
      </c>
      <c r="H32" s="380">
        <v>198</v>
      </c>
      <c r="I32" s="380">
        <v>204</v>
      </c>
      <c r="J32" s="380">
        <v>196</v>
      </c>
      <c r="K32" s="380">
        <v>202</v>
      </c>
      <c r="L32" s="380">
        <v>228</v>
      </c>
      <c r="M32" s="380">
        <v>182</v>
      </c>
      <c r="N32" s="385"/>
      <c r="O32" s="385"/>
      <c r="P32" s="326" t="s">
        <v>61</v>
      </c>
      <c r="Q32" s="1202">
        <v>96</v>
      </c>
      <c r="R32" s="388">
        <v>101</v>
      </c>
      <c r="S32" s="380">
        <v>115</v>
      </c>
      <c r="T32" s="1080">
        <v>132</v>
      </c>
      <c r="U32" s="1080">
        <v>137</v>
      </c>
      <c r="V32" s="380">
        <v>155</v>
      </c>
      <c r="W32" s="380">
        <v>166</v>
      </c>
      <c r="X32" s="380">
        <v>172</v>
      </c>
      <c r="Y32" s="380">
        <v>177</v>
      </c>
      <c r="Z32" s="380">
        <v>204</v>
      </c>
      <c r="AA32" s="380">
        <v>190</v>
      </c>
      <c r="AC32" s="385"/>
      <c r="AD32" s="385"/>
      <c r="AE32" s="385"/>
      <c r="AF32" s="385"/>
    </row>
    <row r="33" spans="2:32" ht="26.4">
      <c r="B33" s="326" t="s">
        <v>757</v>
      </c>
      <c r="C33" s="1202">
        <v>99</v>
      </c>
      <c r="D33" s="388">
        <v>98</v>
      </c>
      <c r="E33" s="380">
        <v>133</v>
      </c>
      <c r="F33" s="1080">
        <v>149</v>
      </c>
      <c r="G33" s="1080">
        <v>151</v>
      </c>
      <c r="H33" s="380">
        <v>169</v>
      </c>
      <c r="I33" s="380">
        <v>174</v>
      </c>
      <c r="J33" s="380">
        <v>168</v>
      </c>
      <c r="K33" s="380">
        <v>177</v>
      </c>
      <c r="L33" s="380">
        <v>193</v>
      </c>
      <c r="M33" s="380">
        <v>155</v>
      </c>
      <c r="N33" s="385"/>
      <c r="O33" s="385"/>
      <c r="P33" s="326" t="s">
        <v>757</v>
      </c>
      <c r="Q33" s="1202">
        <v>77</v>
      </c>
      <c r="R33" s="388">
        <v>77</v>
      </c>
      <c r="S33" s="380">
        <v>93</v>
      </c>
      <c r="T33" s="1080">
        <v>106</v>
      </c>
      <c r="U33" s="1080">
        <v>106</v>
      </c>
      <c r="V33" s="380">
        <v>126</v>
      </c>
      <c r="W33" s="380">
        <v>135</v>
      </c>
      <c r="X33" s="380">
        <v>137</v>
      </c>
      <c r="Y33" s="380">
        <v>146</v>
      </c>
      <c r="Z33" s="380">
        <v>167</v>
      </c>
      <c r="AA33" s="380">
        <v>150</v>
      </c>
      <c r="AC33" s="385"/>
      <c r="AD33" s="385"/>
      <c r="AE33" s="385"/>
      <c r="AF33" s="385"/>
    </row>
    <row r="34" spans="2:32" ht="26.4">
      <c r="B34" s="326" t="s">
        <v>758</v>
      </c>
      <c r="C34" s="1202">
        <v>41</v>
      </c>
      <c r="D34" s="388">
        <v>40</v>
      </c>
      <c r="E34" s="380">
        <v>41</v>
      </c>
      <c r="F34" s="1080">
        <v>39</v>
      </c>
      <c r="G34" s="1080">
        <v>35</v>
      </c>
      <c r="H34" s="380">
        <v>29</v>
      </c>
      <c r="I34" s="380">
        <v>30</v>
      </c>
      <c r="J34" s="380">
        <v>28</v>
      </c>
      <c r="K34" s="380">
        <v>27</v>
      </c>
      <c r="L34" s="380">
        <v>35</v>
      </c>
      <c r="M34" s="380">
        <v>27</v>
      </c>
      <c r="N34" s="385"/>
      <c r="O34" s="385"/>
      <c r="P34" s="326" t="s">
        <v>758</v>
      </c>
      <c r="Q34" s="1202">
        <v>47</v>
      </c>
      <c r="R34" s="388">
        <v>54</v>
      </c>
      <c r="S34" s="380">
        <v>59</v>
      </c>
      <c r="T34" s="1080">
        <v>62</v>
      </c>
      <c r="U34" s="1080">
        <v>62</v>
      </c>
      <c r="V34" s="380">
        <v>61</v>
      </c>
      <c r="W34" s="380">
        <v>64</v>
      </c>
      <c r="X34" s="380">
        <v>65</v>
      </c>
      <c r="Y34" s="380">
        <v>67</v>
      </c>
      <c r="Z34" s="380">
        <v>79</v>
      </c>
      <c r="AA34" s="380">
        <v>77</v>
      </c>
      <c r="AC34" s="385"/>
      <c r="AD34" s="385"/>
      <c r="AE34" s="385"/>
      <c r="AF34" s="385"/>
    </row>
    <row r="35" spans="2:32" ht="26.4">
      <c r="B35" s="326" t="s">
        <v>759</v>
      </c>
      <c r="C35" s="1202">
        <v>27</v>
      </c>
      <c r="D35" s="388">
        <v>20</v>
      </c>
      <c r="E35" s="380">
        <v>31</v>
      </c>
      <c r="F35" s="1080">
        <v>21</v>
      </c>
      <c r="G35" s="1080">
        <v>25</v>
      </c>
      <c r="H35" s="380">
        <v>34</v>
      </c>
      <c r="I35" s="380">
        <v>37</v>
      </c>
      <c r="J35" s="380">
        <v>41</v>
      </c>
      <c r="K35" s="380">
        <v>44</v>
      </c>
      <c r="L35" s="380">
        <v>48</v>
      </c>
      <c r="M35" s="380">
        <v>44</v>
      </c>
      <c r="N35" s="385"/>
      <c r="O35" s="385"/>
      <c r="P35" s="326" t="s">
        <v>759</v>
      </c>
      <c r="Q35" s="1202">
        <v>104</v>
      </c>
      <c r="R35" s="388">
        <v>111</v>
      </c>
      <c r="S35" s="380">
        <v>131</v>
      </c>
      <c r="T35" s="1080">
        <v>94</v>
      </c>
      <c r="U35" s="1080">
        <v>100</v>
      </c>
      <c r="V35" s="380">
        <v>117</v>
      </c>
      <c r="W35" s="380">
        <v>118</v>
      </c>
      <c r="X35" s="380">
        <v>128</v>
      </c>
      <c r="Y35" s="380">
        <v>133</v>
      </c>
      <c r="Z35" s="380">
        <v>176</v>
      </c>
      <c r="AA35" s="380">
        <v>158</v>
      </c>
      <c r="AC35" s="385"/>
      <c r="AD35" s="385"/>
      <c r="AE35" s="385"/>
      <c r="AF35" s="385"/>
    </row>
    <row r="36" spans="2:32" ht="26.4">
      <c r="B36" s="324" t="s">
        <v>247</v>
      </c>
      <c r="C36" s="1203">
        <v>16</v>
      </c>
      <c r="D36" s="391">
        <v>14</v>
      </c>
      <c r="E36" s="380">
        <v>17</v>
      </c>
      <c r="F36" s="1080">
        <v>17</v>
      </c>
      <c r="G36" s="1080">
        <v>15</v>
      </c>
      <c r="H36" s="381">
        <v>14</v>
      </c>
      <c r="I36" s="381">
        <v>15</v>
      </c>
      <c r="J36" s="381">
        <v>25</v>
      </c>
      <c r="K36" s="381">
        <v>15</v>
      </c>
      <c r="L36" s="381">
        <v>18</v>
      </c>
      <c r="M36" s="381" t="s">
        <v>59</v>
      </c>
      <c r="N36" s="385"/>
      <c r="O36" s="385"/>
      <c r="P36" s="324" t="s">
        <v>247</v>
      </c>
      <c r="Q36" s="1203">
        <v>42</v>
      </c>
      <c r="R36" s="391">
        <v>46</v>
      </c>
      <c r="S36" s="381">
        <v>51</v>
      </c>
      <c r="T36" s="1081">
        <v>53</v>
      </c>
      <c r="U36" s="1081">
        <v>57</v>
      </c>
      <c r="V36" s="381">
        <v>57</v>
      </c>
      <c r="W36" s="381">
        <v>56</v>
      </c>
      <c r="X36" s="381">
        <v>62</v>
      </c>
      <c r="Y36" s="381">
        <v>74</v>
      </c>
      <c r="Z36" s="381">
        <v>83</v>
      </c>
      <c r="AA36" s="381" t="s">
        <v>59</v>
      </c>
      <c r="AC36" s="385"/>
      <c r="AD36" s="385"/>
      <c r="AE36" s="385"/>
      <c r="AF36" s="385"/>
    </row>
    <row r="37" spans="2:32">
      <c r="B37" s="377" t="s">
        <v>51</v>
      </c>
      <c r="C37" s="1201"/>
      <c r="D37" s="377"/>
      <c r="E37" s="380"/>
      <c r="F37" s="1080"/>
      <c r="G37" s="1080"/>
      <c r="H37" s="379"/>
      <c r="I37" s="379"/>
      <c r="J37" s="379"/>
      <c r="K37" s="379"/>
      <c r="L37" s="379"/>
      <c r="M37" s="379"/>
      <c r="N37" s="976"/>
      <c r="O37" s="976"/>
      <c r="P37" s="377" t="s">
        <v>51</v>
      </c>
      <c r="Q37" s="1203"/>
      <c r="R37" s="384"/>
      <c r="S37" s="379"/>
      <c r="T37" s="1079"/>
      <c r="U37" s="1079"/>
      <c r="V37" s="379"/>
      <c r="W37" s="379"/>
      <c r="X37" s="379"/>
      <c r="Y37" s="379"/>
      <c r="Z37" s="379"/>
      <c r="AA37" s="379"/>
      <c r="AC37" s="976"/>
      <c r="AD37" s="976"/>
      <c r="AE37" s="976"/>
      <c r="AF37" s="976"/>
    </row>
    <row r="38" spans="2:32">
      <c r="B38" s="382" t="s">
        <v>760</v>
      </c>
      <c r="C38" s="245">
        <v>113</v>
      </c>
      <c r="D38" s="384">
        <v>208</v>
      </c>
      <c r="E38" s="385">
        <v>215</v>
      </c>
      <c r="F38" s="1082">
        <v>197</v>
      </c>
      <c r="G38" s="1082">
        <v>71</v>
      </c>
      <c r="H38" s="383">
        <v>74</v>
      </c>
      <c r="I38" s="383">
        <v>55</v>
      </c>
      <c r="J38" s="383">
        <v>51</v>
      </c>
      <c r="K38" s="383">
        <v>28</v>
      </c>
      <c r="L38" s="383">
        <v>39</v>
      </c>
      <c r="M38" s="383">
        <v>31</v>
      </c>
      <c r="N38" s="385"/>
      <c r="O38" s="385"/>
      <c r="P38" s="384" t="s">
        <v>761</v>
      </c>
      <c r="Q38" s="245">
        <v>61</v>
      </c>
      <c r="R38" s="384">
        <v>51</v>
      </c>
      <c r="S38" s="385">
        <v>52</v>
      </c>
      <c r="T38" s="1082">
        <v>54</v>
      </c>
      <c r="U38" s="1082">
        <v>43</v>
      </c>
      <c r="V38" s="385">
        <v>51</v>
      </c>
      <c r="W38" s="385">
        <v>45</v>
      </c>
      <c r="X38" s="385">
        <v>41</v>
      </c>
      <c r="Y38" s="385">
        <v>34</v>
      </c>
      <c r="Z38" s="385">
        <v>42</v>
      </c>
      <c r="AA38" s="385">
        <v>31</v>
      </c>
      <c r="AC38" s="385"/>
      <c r="AD38" s="385"/>
      <c r="AE38" s="385"/>
      <c r="AF38" s="385"/>
    </row>
    <row r="39" spans="2:32">
      <c r="B39" s="386" t="s">
        <v>3</v>
      </c>
      <c r="C39" s="387">
        <v>298</v>
      </c>
      <c r="D39" s="387">
        <v>382</v>
      </c>
      <c r="E39" s="387">
        <f>E30+E38</f>
        <v>438</v>
      </c>
      <c r="F39" s="387">
        <f>227+197</f>
        <v>424</v>
      </c>
      <c r="G39" s="387">
        <f>227+71</f>
        <v>298</v>
      </c>
      <c r="H39" s="387">
        <v>321</v>
      </c>
      <c r="I39" s="387">
        <v>312</v>
      </c>
      <c r="J39" s="387">
        <v>315</v>
      </c>
      <c r="K39" s="387">
        <v>292</v>
      </c>
      <c r="L39" s="387">
        <v>339</v>
      </c>
      <c r="M39" s="387">
        <v>259</v>
      </c>
      <c r="N39" s="975"/>
      <c r="O39" s="975"/>
      <c r="P39" s="386" t="s">
        <v>52</v>
      </c>
      <c r="Q39" s="378">
        <f>Q30+Q38</f>
        <v>320</v>
      </c>
      <c r="R39" s="378">
        <f>R30+R38</f>
        <v>327</v>
      </c>
      <c r="S39" s="378">
        <f>S30+S38</f>
        <v>368</v>
      </c>
      <c r="T39" s="378">
        <f>291+54</f>
        <v>345</v>
      </c>
      <c r="U39" s="378">
        <v>350</v>
      </c>
      <c r="V39" s="378">
        <v>423</v>
      </c>
      <c r="W39" s="378">
        <v>428</v>
      </c>
      <c r="X39" s="378">
        <v>444</v>
      </c>
      <c r="Y39" s="378">
        <v>469</v>
      </c>
      <c r="Z39" s="378">
        <v>568</v>
      </c>
      <c r="AA39" s="378">
        <v>417</v>
      </c>
      <c r="AC39" s="976"/>
      <c r="AD39" s="976"/>
      <c r="AE39" s="976"/>
      <c r="AF39" s="976"/>
    </row>
    <row r="40" spans="2:32">
      <c r="B40" s="41" t="s">
        <v>762</v>
      </c>
      <c r="C40" s="4"/>
      <c r="D40" s="4"/>
      <c r="E40" s="4"/>
      <c r="F40" s="4"/>
      <c r="G40" s="4"/>
      <c r="H40" s="4"/>
      <c r="I40" s="4"/>
      <c r="J40" s="4"/>
      <c r="P40" s="193" t="s">
        <v>1838</v>
      </c>
    </row>
    <row r="43" spans="2:32" ht="15.6">
      <c r="B43" s="83" t="s">
        <v>763</v>
      </c>
      <c r="C43" s="83"/>
      <c r="D43" s="83"/>
      <c r="E43" s="83"/>
      <c r="F43" s="83"/>
      <c r="G43" s="1210"/>
      <c r="H43" s="83"/>
      <c r="I43" s="83"/>
      <c r="J43" s="83"/>
      <c r="K43" s="83"/>
      <c r="L43" s="83"/>
      <c r="M43" s="376"/>
      <c r="N43" s="376"/>
    </row>
    <row r="44" spans="2:32" ht="15.6">
      <c r="B44" s="93" t="s">
        <v>46</v>
      </c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376"/>
      <c r="N44" s="376"/>
    </row>
    <row r="45" spans="2:32">
      <c r="B45" s="245"/>
      <c r="C45" s="317">
        <v>2024</v>
      </c>
      <c r="D45" s="317">
        <v>2023</v>
      </c>
      <c r="E45" s="317">
        <v>2022</v>
      </c>
      <c r="F45" s="317">
        <v>2021</v>
      </c>
      <c r="G45" s="317">
        <v>2020</v>
      </c>
      <c r="H45" s="317">
        <v>2019</v>
      </c>
      <c r="I45" s="317">
        <v>2018</v>
      </c>
      <c r="J45" s="317">
        <v>2017</v>
      </c>
      <c r="K45" s="317">
        <v>2016</v>
      </c>
      <c r="L45" s="317">
        <v>2015</v>
      </c>
      <c r="M45" s="317">
        <v>2014</v>
      </c>
      <c r="N45" s="479"/>
      <c r="O45" s="479"/>
    </row>
    <row r="46" spans="2:32">
      <c r="B46" s="377" t="s">
        <v>70</v>
      </c>
      <c r="C46" s="1208">
        <v>1959</v>
      </c>
      <c r="D46" s="1402">
        <v>2194</v>
      </c>
      <c r="E46" s="318">
        <v>1866</v>
      </c>
      <c r="F46" s="318">
        <v>1713</v>
      </c>
      <c r="G46" s="320">
        <v>1899</v>
      </c>
      <c r="H46" s="320">
        <v>1656</v>
      </c>
      <c r="I46" s="320">
        <v>1974</v>
      </c>
      <c r="J46" s="320">
        <v>1977</v>
      </c>
      <c r="K46" s="320">
        <v>2009</v>
      </c>
      <c r="L46" s="320">
        <v>2270</v>
      </c>
      <c r="M46" s="320">
        <v>1061</v>
      </c>
      <c r="N46" s="246"/>
      <c r="O46" s="246"/>
    </row>
    <row r="47" spans="2:32">
      <c r="B47" s="388" t="s">
        <v>764</v>
      </c>
      <c r="C47" s="1274" t="s">
        <v>59</v>
      </c>
      <c r="D47" s="1405" t="s">
        <v>59</v>
      </c>
      <c r="E47" s="328" t="s">
        <v>59</v>
      </c>
      <c r="F47" s="328">
        <v>17</v>
      </c>
      <c r="G47" s="328">
        <v>15</v>
      </c>
      <c r="H47" s="328">
        <v>14</v>
      </c>
      <c r="I47" s="328">
        <v>15</v>
      </c>
      <c r="J47" s="328">
        <v>26</v>
      </c>
      <c r="K47" s="328">
        <v>15</v>
      </c>
      <c r="L47" s="328">
        <v>18</v>
      </c>
      <c r="M47" s="328">
        <v>17</v>
      </c>
      <c r="N47" s="246"/>
      <c r="O47" s="246"/>
    </row>
    <row r="48" spans="2:32" ht="26.4">
      <c r="B48" s="389" t="s">
        <v>765</v>
      </c>
      <c r="C48" s="1209">
        <v>20751</v>
      </c>
      <c r="D48" s="1404">
        <v>21962</v>
      </c>
      <c r="E48" s="1084">
        <v>24298</v>
      </c>
      <c r="F48" s="1084">
        <v>20398</v>
      </c>
      <c r="G48" s="328">
        <v>22319</v>
      </c>
      <c r="H48" s="328">
        <v>19216</v>
      </c>
      <c r="I48" s="328">
        <v>23693</v>
      </c>
      <c r="J48" s="328">
        <v>21603</v>
      </c>
      <c r="K48" s="328">
        <v>20908</v>
      </c>
      <c r="L48" s="328">
        <v>22101</v>
      </c>
      <c r="M48" s="328">
        <v>23461</v>
      </c>
      <c r="N48" s="246"/>
      <c r="O48" s="246"/>
    </row>
    <row r="49" spans="2:15">
      <c r="B49" s="390" t="s">
        <v>1681</v>
      </c>
      <c r="C49" s="92"/>
      <c r="D49" s="92"/>
      <c r="E49" s="92"/>
      <c r="F49" s="92"/>
      <c r="G49" s="92"/>
      <c r="H49" s="92"/>
      <c r="I49" s="92"/>
      <c r="J49" s="92"/>
      <c r="K49" s="92"/>
      <c r="L49" s="92"/>
    </row>
    <row r="50" spans="2:15"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</row>
    <row r="51" spans="2:15">
      <c r="B51" s="117"/>
    </row>
    <row r="52" spans="2:15" ht="15.6">
      <c r="B52" s="83" t="s">
        <v>763</v>
      </c>
      <c r="G52" s="1210"/>
    </row>
    <row r="53" spans="2:15">
      <c r="B53" s="93" t="s">
        <v>355</v>
      </c>
    </row>
    <row r="54" spans="2:15">
      <c r="B54" s="245"/>
      <c r="C54" s="317">
        <v>2024</v>
      </c>
      <c r="D54" s="317">
        <v>2023</v>
      </c>
      <c r="E54" s="317">
        <v>2022</v>
      </c>
      <c r="F54" s="317">
        <v>2021</v>
      </c>
      <c r="G54" s="317">
        <v>2020</v>
      </c>
      <c r="H54" s="317">
        <v>2019</v>
      </c>
      <c r="I54" s="317">
        <v>2018</v>
      </c>
      <c r="J54" s="317">
        <v>2017</v>
      </c>
      <c r="K54" s="317">
        <v>2016</v>
      </c>
      <c r="L54" s="317">
        <v>2015</v>
      </c>
      <c r="M54" s="317">
        <v>2014</v>
      </c>
      <c r="N54" s="479"/>
      <c r="O54" s="479"/>
    </row>
    <row r="55" spans="2:15">
      <c r="B55" s="377" t="s">
        <v>70</v>
      </c>
      <c r="C55" s="1208">
        <v>161</v>
      </c>
      <c r="D55" s="1402">
        <v>161</v>
      </c>
      <c r="E55" s="318">
        <v>156</v>
      </c>
      <c r="F55" s="318">
        <v>139</v>
      </c>
      <c r="G55" s="320">
        <v>154</v>
      </c>
      <c r="H55" s="320">
        <v>148</v>
      </c>
      <c r="I55" s="320">
        <v>159</v>
      </c>
      <c r="J55" s="320">
        <v>184</v>
      </c>
      <c r="K55" s="320">
        <v>154</v>
      </c>
      <c r="L55" s="320">
        <v>199</v>
      </c>
      <c r="M55" s="320">
        <v>105</v>
      </c>
      <c r="N55" s="320"/>
      <c r="O55" s="320"/>
    </row>
    <row r="56" spans="2:15">
      <c r="B56" s="391" t="s">
        <v>766</v>
      </c>
      <c r="C56" s="1273" t="s">
        <v>59</v>
      </c>
      <c r="D56" s="1403">
        <v>46</v>
      </c>
      <c r="E56" s="1085">
        <v>51</v>
      </c>
      <c r="F56" s="1085">
        <v>53</v>
      </c>
      <c r="G56" s="380">
        <v>57</v>
      </c>
      <c r="H56" s="380">
        <v>57</v>
      </c>
      <c r="I56" s="380">
        <v>56</v>
      </c>
      <c r="J56" s="380">
        <v>62</v>
      </c>
      <c r="K56" s="380">
        <v>74</v>
      </c>
      <c r="L56" s="380">
        <v>83</v>
      </c>
      <c r="M56" s="380">
        <v>97</v>
      </c>
      <c r="N56" s="380"/>
      <c r="O56" s="380"/>
    </row>
    <row r="57" spans="2:15" ht="26.4">
      <c r="B57" s="389" t="s">
        <v>765</v>
      </c>
      <c r="C57" s="1209">
        <v>2172</v>
      </c>
      <c r="D57" s="1404">
        <v>2486</v>
      </c>
      <c r="E57" s="1084">
        <v>2426</v>
      </c>
      <c r="F57" s="1084">
        <v>2534</v>
      </c>
      <c r="G57" s="328">
        <v>2624</v>
      </c>
      <c r="H57" s="328">
        <v>2749</v>
      </c>
      <c r="I57" s="328">
        <v>3335</v>
      </c>
      <c r="J57" s="328">
        <v>3176</v>
      </c>
      <c r="K57" s="328">
        <v>3333</v>
      </c>
      <c r="L57" s="328">
        <v>3454</v>
      </c>
      <c r="M57" s="328">
        <v>3499</v>
      </c>
      <c r="N57" s="328"/>
      <c r="O57" s="328"/>
    </row>
    <row r="58" spans="2:15">
      <c r="B58" s="390" t="s">
        <v>1681</v>
      </c>
    </row>
    <row r="61" spans="2:15" ht="15.6">
      <c r="B61" s="86" t="s">
        <v>2016</v>
      </c>
      <c r="F61" s="392"/>
    </row>
    <row r="62" spans="2:15" ht="15.6">
      <c r="B62" s="86"/>
      <c r="F62" s="392"/>
    </row>
    <row r="63" spans="2:15">
      <c r="B63" s="290" t="s">
        <v>596</v>
      </c>
      <c r="F63" s="392"/>
    </row>
    <row r="64" spans="2:15">
      <c r="B64" s="290" t="s">
        <v>667</v>
      </c>
      <c r="C64" s="290"/>
      <c r="D64" s="290"/>
      <c r="E64" s="290"/>
      <c r="F64" s="392"/>
    </row>
    <row r="65" spans="2:6">
      <c r="B65" s="290" t="s">
        <v>2034</v>
      </c>
      <c r="C65" s="290"/>
      <c r="D65" s="290"/>
      <c r="E65" s="290"/>
      <c r="F65" s="392"/>
    </row>
    <row r="67" spans="2:6">
      <c r="B67" s="159" t="s">
        <v>767</v>
      </c>
      <c r="C67" s="1555" t="s">
        <v>668</v>
      </c>
      <c r="D67" s="1555"/>
    </row>
    <row r="68" spans="2:6">
      <c r="B68" s="159" t="s">
        <v>768</v>
      </c>
      <c r="C68" s="162" t="s">
        <v>769</v>
      </c>
      <c r="D68" s="162" t="s">
        <v>670</v>
      </c>
    </row>
    <row r="69" spans="2:6">
      <c r="B69" s="159"/>
      <c r="C69" s="162"/>
      <c r="D69" s="162"/>
    </row>
    <row r="70" spans="2:6">
      <c r="B70" s="3" t="s">
        <v>52</v>
      </c>
      <c r="C70" s="393">
        <v>1958</v>
      </c>
      <c r="D70" s="393">
        <v>100</v>
      </c>
    </row>
    <row r="71" spans="2:6">
      <c r="B71" s="394" t="s">
        <v>770</v>
      </c>
      <c r="C71" s="396">
        <v>1116</v>
      </c>
      <c r="D71" s="397">
        <f>(C71/$C$70)*100</f>
        <v>56.99693564862104</v>
      </c>
    </row>
    <row r="72" spans="2:6">
      <c r="B72" s="394" t="s">
        <v>771</v>
      </c>
      <c r="C72" s="396">
        <v>576</v>
      </c>
      <c r="D72" s="397">
        <f>(C72/$C$70)*100</f>
        <v>29.417773237997956</v>
      </c>
    </row>
    <row r="73" spans="2:6">
      <c r="B73" s="394" t="s">
        <v>773</v>
      </c>
      <c r="C73" s="396">
        <v>99</v>
      </c>
      <c r="D73" s="397">
        <f>(C73/$C$70)*100</f>
        <v>5.0561797752808983</v>
      </c>
    </row>
    <row r="74" spans="2:6">
      <c r="B74" s="398" t="s">
        <v>772</v>
      </c>
      <c r="C74" s="400">
        <v>110</v>
      </c>
      <c r="D74" s="397">
        <f>(C74/$C$70)*100</f>
        <v>5.6179775280898872</v>
      </c>
    </row>
    <row r="75" spans="2:6">
      <c r="B75" s="394" t="s">
        <v>774</v>
      </c>
      <c r="C75" s="396">
        <v>57</v>
      </c>
      <c r="D75" s="397">
        <f>(C75/$C$70)*100</f>
        <v>2.9111338100102144</v>
      </c>
    </row>
    <row r="76" spans="2:6">
      <c r="B76" s="401"/>
      <c r="C76" s="290"/>
      <c r="D76" s="290"/>
      <c r="E76" s="402"/>
      <c r="F76" s="403"/>
    </row>
    <row r="77" spans="2:6">
      <c r="B77" s="401" t="s">
        <v>596</v>
      </c>
      <c r="C77" s="290"/>
      <c r="D77" s="290"/>
      <c r="E77" s="402"/>
      <c r="F77" s="403"/>
    </row>
    <row r="78" spans="2:6">
      <c r="B78" s="401" t="s">
        <v>775</v>
      </c>
      <c r="C78" s="290"/>
      <c r="D78" s="290"/>
      <c r="E78" s="402"/>
      <c r="F78" s="403"/>
    </row>
    <row r="79" spans="2:6">
      <c r="B79" s="290" t="s">
        <v>2035</v>
      </c>
      <c r="C79" s="290"/>
      <c r="D79" s="290"/>
      <c r="E79" s="404"/>
      <c r="F79" s="405"/>
    </row>
    <row r="80" spans="2:6">
      <c r="B80" s="290"/>
      <c r="C80" s="290"/>
      <c r="D80" s="290"/>
      <c r="E80" s="404"/>
      <c r="F80" s="405"/>
    </row>
    <row r="81" spans="2:8">
      <c r="B81" s="159" t="s">
        <v>776</v>
      </c>
      <c r="C81" s="1555" t="s">
        <v>668</v>
      </c>
      <c r="D81" s="1555"/>
    </row>
    <row r="82" spans="2:8">
      <c r="B82" s="159" t="s">
        <v>777</v>
      </c>
      <c r="C82" s="162" t="s">
        <v>769</v>
      </c>
      <c r="D82" s="162" t="s">
        <v>670</v>
      </c>
    </row>
    <row r="83" spans="2:8">
      <c r="B83" s="159"/>
      <c r="C83" s="162"/>
      <c r="D83" s="162"/>
    </row>
    <row r="84" spans="2:8">
      <c r="B84" s="3" t="s">
        <v>52</v>
      </c>
      <c r="C84" s="406">
        <v>20752</v>
      </c>
      <c r="D84" s="407">
        <v>100</v>
      </c>
    </row>
    <row r="85" spans="2:8">
      <c r="B85" s="394" t="s">
        <v>770</v>
      </c>
      <c r="C85" s="408">
        <v>6754</v>
      </c>
      <c r="D85" s="397">
        <f>(C85/$C$84)*100</f>
        <v>32.546260601387814</v>
      </c>
    </row>
    <row r="86" spans="2:8">
      <c r="B86" s="395" t="s">
        <v>771</v>
      </c>
      <c r="C86" s="408">
        <v>6566</v>
      </c>
      <c r="D86" s="397">
        <f>(C86/$C$84)*100</f>
        <v>31.640323824209716</v>
      </c>
    </row>
    <row r="87" spans="2:8">
      <c r="B87" s="394" t="s">
        <v>774</v>
      </c>
      <c r="C87" s="408">
        <v>3593</v>
      </c>
      <c r="D87" s="397">
        <f>(C87/$C$84)*100</f>
        <v>17.313993831919817</v>
      </c>
    </row>
    <row r="88" spans="2:8">
      <c r="B88" s="394" t="s">
        <v>772</v>
      </c>
      <c r="C88" s="408">
        <v>3400</v>
      </c>
      <c r="D88" s="397">
        <f>(C88/$C$84)*100</f>
        <v>16.383962991518892</v>
      </c>
    </row>
    <row r="89" spans="2:8">
      <c r="B89" s="398" t="s">
        <v>773</v>
      </c>
      <c r="C89" s="409">
        <v>439</v>
      </c>
      <c r="D89" s="397">
        <f>(C89/$C$84)*100</f>
        <v>2.1154587509637626</v>
      </c>
    </row>
    <row r="90" spans="2:8">
      <c r="B90" s="410"/>
      <c r="E90" s="23"/>
      <c r="F90" s="411"/>
    </row>
    <row r="91" spans="2:8">
      <c r="B91" s="10" t="s">
        <v>778</v>
      </c>
      <c r="E91" s="412"/>
    </row>
    <row r="94" spans="2:8" ht="17.399999999999999">
      <c r="B94" s="286" t="s">
        <v>779</v>
      </c>
    </row>
    <row r="96" spans="2:8">
      <c r="B96" s="413" t="s">
        <v>2068</v>
      </c>
      <c r="C96" s="414"/>
      <c r="D96" s="414"/>
      <c r="E96" s="414"/>
      <c r="F96" s="414"/>
      <c r="G96" s="414"/>
      <c r="H96" s="415"/>
    </row>
    <row r="97" spans="2:7" ht="55.5" customHeight="1">
      <c r="B97" s="416" t="s">
        <v>780</v>
      </c>
      <c r="C97" s="416"/>
      <c r="D97" s="417">
        <v>281169.93969699979</v>
      </c>
      <c r="E97" s="418" t="s">
        <v>781</v>
      </c>
      <c r="F97" s="1425">
        <v>274808.20400900004</v>
      </c>
      <c r="G97" s="418" t="s">
        <v>2069</v>
      </c>
    </row>
    <row r="98" spans="2:7" ht="34.200000000000003">
      <c r="B98" s="419"/>
      <c r="C98" s="419"/>
      <c r="D98" s="420"/>
      <c r="E98" s="418" t="s">
        <v>782</v>
      </c>
      <c r="F98" s="1425">
        <v>4952.4452710000014</v>
      </c>
      <c r="G98" s="418" t="s">
        <v>2070</v>
      </c>
    </row>
    <row r="99" spans="2:7" ht="80.25" customHeight="1">
      <c r="B99" s="416" t="s">
        <v>783</v>
      </c>
      <c r="C99" s="416"/>
      <c r="D99" s="417">
        <v>158757.66256800003</v>
      </c>
      <c r="E99" s="418" t="s">
        <v>784</v>
      </c>
      <c r="F99" s="1428">
        <v>154920.56896699997</v>
      </c>
      <c r="G99" s="418" t="s">
        <v>2071</v>
      </c>
    </row>
    <row r="100" spans="2:7" ht="73.5" customHeight="1">
      <c r="B100" s="422"/>
      <c r="C100" s="422"/>
      <c r="D100" s="421"/>
      <c r="E100" s="418" t="s">
        <v>785</v>
      </c>
      <c r="F100" s="1428">
        <v>3837.0936010000014</v>
      </c>
      <c r="G100" s="418" t="s">
        <v>2072</v>
      </c>
    </row>
    <row r="101" spans="2:7" ht="44.25" customHeight="1">
      <c r="B101" s="416" t="s">
        <v>786</v>
      </c>
      <c r="C101" s="416"/>
      <c r="D101" s="417">
        <v>14933.664108999999</v>
      </c>
      <c r="E101" s="418" t="s">
        <v>787</v>
      </c>
      <c r="F101" s="1428">
        <v>14838.395528999996</v>
      </c>
      <c r="G101" s="418" t="s">
        <v>2073</v>
      </c>
    </row>
    <row r="102" spans="2:7" ht="44.25" customHeight="1">
      <c r="B102" s="422"/>
      <c r="C102" s="422"/>
      <c r="D102" s="421"/>
      <c r="E102" s="418" t="s">
        <v>788</v>
      </c>
      <c r="F102" s="1428">
        <v>95.268580000000014</v>
      </c>
      <c r="G102" s="418" t="s">
        <v>2074</v>
      </c>
    </row>
    <row r="103" spans="2:7" ht="43.5" customHeight="1">
      <c r="B103" s="416" t="s">
        <v>1633</v>
      </c>
      <c r="C103" s="416"/>
      <c r="D103" s="417">
        <v>6360.3616550000006</v>
      </c>
      <c r="E103" s="418" t="s">
        <v>1634</v>
      </c>
      <c r="F103" s="1428">
        <v>4142.9734639999997</v>
      </c>
      <c r="G103" s="418" t="s">
        <v>2075</v>
      </c>
    </row>
    <row r="104" spans="2:7" ht="22.8">
      <c r="B104" s="416"/>
      <c r="C104" s="416"/>
      <c r="D104" s="417"/>
      <c r="E104" s="423" t="s">
        <v>1635</v>
      </c>
      <c r="F104" s="1429">
        <v>2217.3881910000005</v>
      </c>
      <c r="G104" s="424" t="s">
        <v>2076</v>
      </c>
    </row>
    <row r="105" spans="2:7">
      <c r="B105" s="425" t="s">
        <v>3</v>
      </c>
      <c r="C105" s="426"/>
      <c r="D105" s="427">
        <v>461221.62802899984</v>
      </c>
      <c r="E105" s="428"/>
      <c r="F105" s="1430"/>
      <c r="G105" s="428"/>
    </row>
    <row r="106" spans="2:7" ht="15.6">
      <c r="B106" s="429"/>
      <c r="C106" s="429"/>
      <c r="D106" s="430"/>
      <c r="E106" s="431"/>
      <c r="F106" s="1431"/>
      <c r="G106" s="433"/>
    </row>
    <row r="107" spans="2:7">
      <c r="B107" s="413" t="s">
        <v>2077</v>
      </c>
      <c r="C107" s="414"/>
      <c r="D107" s="434"/>
      <c r="E107" s="414"/>
      <c r="F107" s="1426"/>
      <c r="G107" s="435"/>
    </row>
    <row r="108" spans="2:7" ht="56.25" customHeight="1">
      <c r="B108" s="416" t="s">
        <v>780</v>
      </c>
      <c r="C108" s="416"/>
      <c r="D108" s="436">
        <v>196135.41501500004</v>
      </c>
      <c r="E108" s="418" t="s">
        <v>781</v>
      </c>
      <c r="F108" s="1432">
        <v>182985.88902299997</v>
      </c>
      <c r="G108" s="418" t="s">
        <v>2080</v>
      </c>
    </row>
    <row r="109" spans="2:7" ht="34.200000000000003">
      <c r="B109" s="419"/>
      <c r="C109" s="419"/>
      <c r="D109" s="438"/>
      <c r="E109" s="418" t="s">
        <v>782</v>
      </c>
      <c r="F109" s="1432">
        <v>9916.6815229999975</v>
      </c>
      <c r="G109" s="418" t="s">
        <v>2081</v>
      </c>
    </row>
    <row r="110" spans="2:7" ht="46.5" customHeight="1">
      <c r="B110" s="416" t="s">
        <v>1633</v>
      </c>
      <c r="C110" s="416"/>
      <c r="D110" s="439">
        <v>110759.65921699999</v>
      </c>
      <c r="E110" s="418" t="s">
        <v>1634</v>
      </c>
      <c r="F110" s="1425">
        <v>91862.040958999991</v>
      </c>
      <c r="G110" s="418" t="s">
        <v>2082</v>
      </c>
    </row>
    <row r="111" spans="2:7" ht="34.200000000000003">
      <c r="B111" s="422"/>
      <c r="C111" s="422"/>
      <c r="D111" s="440"/>
      <c r="E111" s="418" t="s">
        <v>1635</v>
      </c>
      <c r="F111" s="1425">
        <v>18897.618258000002</v>
      </c>
      <c r="G111" s="418" t="s">
        <v>2083</v>
      </c>
    </row>
    <row r="112" spans="2:7" ht="78.75" customHeight="1">
      <c r="B112" s="416" t="s">
        <v>786</v>
      </c>
      <c r="C112" s="416"/>
      <c r="D112" s="439">
        <v>23560.779354999999</v>
      </c>
      <c r="E112" s="418" t="s">
        <v>787</v>
      </c>
      <c r="F112" s="1425">
        <v>13214.688247999999</v>
      </c>
      <c r="G112" s="418" t="s">
        <v>2084</v>
      </c>
    </row>
    <row r="113" spans="2:7" ht="69" customHeight="1">
      <c r="B113" s="422"/>
      <c r="C113" s="422"/>
      <c r="D113" s="440"/>
      <c r="E113" s="418" t="s">
        <v>788</v>
      </c>
      <c r="F113" s="1425">
        <v>10346.091106999997</v>
      </c>
      <c r="G113" s="418" t="s">
        <v>2085</v>
      </c>
    </row>
    <row r="114" spans="2:7" ht="42.75" customHeight="1">
      <c r="B114" s="416" t="s">
        <v>783</v>
      </c>
      <c r="C114" s="416"/>
      <c r="D114" s="439">
        <v>17793.544791000004</v>
      </c>
      <c r="E114" s="418" t="s">
        <v>784</v>
      </c>
      <c r="F114" s="1425">
        <v>14985.074573</v>
      </c>
      <c r="G114" s="418" t="s">
        <v>2086</v>
      </c>
    </row>
    <row r="115" spans="2:7" ht="44.25" customHeight="1">
      <c r="B115" s="416"/>
      <c r="C115" s="416"/>
      <c r="D115" s="439"/>
      <c r="E115" s="423" t="s">
        <v>785</v>
      </c>
      <c r="F115" s="1424">
        <v>2808.470217999999</v>
      </c>
      <c r="G115" s="423" t="s">
        <v>2087</v>
      </c>
    </row>
    <row r="116" spans="2:7">
      <c r="B116" s="425" t="s">
        <v>3</v>
      </c>
      <c r="C116" s="426"/>
      <c r="D116" s="441">
        <v>348249.39837800007</v>
      </c>
      <c r="E116" s="442"/>
      <c r="F116" s="1427"/>
      <c r="G116" s="428"/>
    </row>
    <row r="118" spans="2:7">
      <c r="B118" s="442" t="s">
        <v>2078</v>
      </c>
      <c r="C118" s="444"/>
      <c r="D118" s="415"/>
      <c r="E118" s="415"/>
      <c r="F118" s="415"/>
      <c r="G118" s="415"/>
    </row>
    <row r="119" spans="2:7">
      <c r="B119" s="445" t="s">
        <v>13</v>
      </c>
      <c r="C119" s="446">
        <v>248357.07145599995</v>
      </c>
      <c r="D119" s="447" t="s">
        <v>2088</v>
      </c>
      <c r="E119" s="448"/>
      <c r="F119" s="448"/>
      <c r="G119" s="448"/>
    </row>
    <row r="120" spans="2:7">
      <c r="B120" s="449" t="s">
        <v>10</v>
      </c>
      <c r="C120" s="446">
        <v>43041.532882</v>
      </c>
      <c r="D120" s="450" t="s">
        <v>2089</v>
      </c>
      <c r="E120" s="451"/>
      <c r="F120" s="451"/>
      <c r="G120" s="451"/>
    </row>
    <row r="121" spans="2:7">
      <c r="B121" s="449" t="s">
        <v>12</v>
      </c>
      <c r="C121" s="446">
        <v>12341.118268999999</v>
      </c>
      <c r="D121" s="450" t="s">
        <v>2090</v>
      </c>
      <c r="E121" s="451"/>
      <c r="F121" s="451"/>
      <c r="G121" s="451"/>
    </row>
    <row r="122" spans="2:7">
      <c r="B122" s="449" t="s">
        <v>15</v>
      </c>
      <c r="C122" s="446">
        <v>11044.398783000002</v>
      </c>
      <c r="D122" s="450" t="s">
        <v>2091</v>
      </c>
      <c r="E122" s="451"/>
      <c r="F122" s="451"/>
      <c r="G122" s="451"/>
    </row>
    <row r="123" spans="2:7">
      <c r="B123" s="449" t="s">
        <v>6</v>
      </c>
      <c r="C123" s="446">
        <v>7362.8669949999985</v>
      </c>
      <c r="D123" s="450" t="s">
        <v>2092</v>
      </c>
      <c r="E123" s="451"/>
      <c r="F123" s="451"/>
      <c r="G123" s="451"/>
    </row>
    <row r="124" spans="2:7">
      <c r="B124" s="449" t="s">
        <v>17</v>
      </c>
      <c r="C124" s="446">
        <v>6600.8750639999998</v>
      </c>
      <c r="D124" s="450" t="s">
        <v>2093</v>
      </c>
      <c r="E124" s="451"/>
      <c r="F124" s="451"/>
      <c r="G124" s="451"/>
    </row>
    <row r="125" spans="2:7">
      <c r="B125" s="449" t="s">
        <v>16</v>
      </c>
      <c r="C125" s="446">
        <v>5174.8784880000003</v>
      </c>
      <c r="D125" s="450" t="s">
        <v>2094</v>
      </c>
      <c r="E125" s="451"/>
      <c r="F125" s="451"/>
      <c r="G125" s="451"/>
    </row>
    <row r="126" spans="2:7">
      <c r="B126" s="449" t="s">
        <v>22</v>
      </c>
      <c r="C126" s="446">
        <v>2730.0515770000002</v>
      </c>
      <c r="D126" s="450" t="s">
        <v>2095</v>
      </c>
      <c r="E126" s="451"/>
      <c r="F126" s="451"/>
      <c r="G126" s="451"/>
    </row>
    <row r="127" spans="2:7">
      <c r="B127" s="449" t="s">
        <v>31</v>
      </c>
      <c r="C127" s="446">
        <v>1754.4241260000001</v>
      </c>
      <c r="D127" s="450" t="s">
        <v>2096</v>
      </c>
      <c r="E127" s="451"/>
      <c r="F127" s="451"/>
      <c r="G127" s="451"/>
    </row>
    <row r="128" spans="2:7">
      <c r="B128" s="449" t="s">
        <v>27</v>
      </c>
      <c r="C128" s="446">
        <v>1748.7752640000001</v>
      </c>
      <c r="D128" s="450" t="s">
        <v>2097</v>
      </c>
      <c r="E128" s="451"/>
      <c r="F128" s="451"/>
      <c r="G128" s="451"/>
    </row>
    <row r="129" spans="2:7">
      <c r="B129" s="290" t="s">
        <v>1623</v>
      </c>
      <c r="C129" s="452">
        <v>8093.4054740006686</v>
      </c>
      <c r="D129" s="453"/>
      <c r="E129" s="454"/>
      <c r="F129" s="454"/>
      <c r="G129" s="454"/>
    </row>
    <row r="130" spans="2:7">
      <c r="B130" s="425" t="s">
        <v>3</v>
      </c>
      <c r="C130" s="427">
        <v>348249.39837800065</v>
      </c>
      <c r="D130" s="455" t="s">
        <v>791</v>
      </c>
      <c r="E130" s="442"/>
      <c r="F130" s="428"/>
      <c r="G130" s="428"/>
    </row>
    <row r="131" spans="2:7">
      <c r="C131" s="456"/>
    </row>
    <row r="132" spans="2:7">
      <c r="B132" s="442" t="s">
        <v>2079</v>
      </c>
      <c r="C132" s="457"/>
      <c r="D132" s="415"/>
      <c r="E132" s="415"/>
      <c r="F132" s="415"/>
      <c r="G132" s="415"/>
    </row>
    <row r="133" spans="2:7">
      <c r="B133" s="445" t="s">
        <v>10</v>
      </c>
      <c r="C133" s="446">
        <v>136139.88394700002</v>
      </c>
      <c r="D133" s="458" t="s">
        <v>2098</v>
      </c>
      <c r="E133" s="448"/>
      <c r="F133" s="448"/>
      <c r="G133" s="448"/>
    </row>
    <row r="134" spans="2:7">
      <c r="B134" s="449" t="s">
        <v>18</v>
      </c>
      <c r="C134" s="446">
        <v>82201.956453000006</v>
      </c>
      <c r="D134" s="459" t="s">
        <v>2099</v>
      </c>
      <c r="E134" s="451"/>
      <c r="F134" s="451"/>
      <c r="G134" s="451"/>
    </row>
    <row r="135" spans="2:7">
      <c r="B135" s="449" t="s">
        <v>13</v>
      </c>
      <c r="C135" s="446">
        <v>71752.68955499999</v>
      </c>
      <c r="D135" s="459" t="s">
        <v>2100</v>
      </c>
      <c r="E135" s="451"/>
      <c r="F135" s="451"/>
      <c r="G135" s="451"/>
    </row>
    <row r="136" spans="2:7">
      <c r="B136" s="449" t="s">
        <v>14</v>
      </c>
      <c r="C136" s="446">
        <v>27953.265584999986</v>
      </c>
      <c r="D136" s="459" t="s">
        <v>2101</v>
      </c>
      <c r="E136" s="451"/>
      <c r="F136" s="451"/>
      <c r="G136" s="451"/>
    </row>
    <row r="137" spans="2:7">
      <c r="B137" s="449" t="s">
        <v>15</v>
      </c>
      <c r="C137" s="446">
        <v>25870.361839000001</v>
      </c>
      <c r="D137" s="459" t="s">
        <v>2102</v>
      </c>
      <c r="E137" s="451"/>
      <c r="F137" s="451"/>
      <c r="G137" s="451"/>
    </row>
    <row r="138" spans="2:7">
      <c r="B138" s="449" t="s">
        <v>9</v>
      </c>
      <c r="C138" s="446">
        <v>21064.910810000001</v>
      </c>
      <c r="D138" s="459" t="s">
        <v>2103</v>
      </c>
      <c r="E138" s="451"/>
      <c r="F138" s="451"/>
      <c r="G138" s="451"/>
    </row>
    <row r="139" spans="2:7">
      <c r="B139" s="449" t="s">
        <v>20</v>
      </c>
      <c r="C139" s="446">
        <v>18820.579003999999</v>
      </c>
      <c r="D139" s="459" t="s">
        <v>2104</v>
      </c>
      <c r="E139" s="451"/>
      <c r="F139" s="451"/>
      <c r="G139" s="451"/>
    </row>
    <row r="140" spans="2:7">
      <c r="B140" s="449" t="s">
        <v>8</v>
      </c>
      <c r="C140" s="446">
        <v>14118.913623999999</v>
      </c>
      <c r="D140" s="459" t="s">
        <v>2105</v>
      </c>
      <c r="E140" s="451"/>
      <c r="F140" s="451"/>
      <c r="G140" s="451"/>
    </row>
    <row r="141" spans="2:7">
      <c r="B141" s="449" t="s">
        <v>19</v>
      </c>
      <c r="C141" s="446">
        <v>10961.276527</v>
      </c>
      <c r="D141" s="459" t="s">
        <v>2106</v>
      </c>
      <c r="E141" s="451"/>
      <c r="F141" s="451"/>
      <c r="G141" s="451"/>
    </row>
    <row r="142" spans="2:7">
      <c r="B142" s="449" t="s">
        <v>1078</v>
      </c>
      <c r="C142" s="446">
        <v>9375.3390839999975</v>
      </c>
      <c r="D142" s="459" t="s">
        <v>2107</v>
      </c>
      <c r="E142" s="451"/>
      <c r="F142" s="451"/>
      <c r="G142" s="451"/>
    </row>
    <row r="143" spans="2:7">
      <c r="B143" s="290" t="s">
        <v>1623</v>
      </c>
      <c r="C143" s="452">
        <v>42962.451600999979</v>
      </c>
      <c r="D143" s="454"/>
      <c r="E143" s="454"/>
      <c r="F143" s="454"/>
      <c r="G143" s="454"/>
    </row>
    <row r="144" spans="2:7">
      <c r="B144" s="425" t="s">
        <v>3</v>
      </c>
      <c r="C144" s="460">
        <v>461221.62802899996</v>
      </c>
      <c r="D144" s="461" t="s">
        <v>792</v>
      </c>
      <c r="E144" s="442"/>
      <c r="F144" s="428"/>
      <c r="G144" s="428"/>
    </row>
    <row r="145" spans="2:2">
      <c r="B145" s="87" t="s">
        <v>2391</v>
      </c>
    </row>
  </sheetData>
  <mergeCells count="2">
    <mergeCell ref="C67:D67"/>
    <mergeCell ref="C81:D81"/>
  </mergeCells>
  <hyperlinks>
    <hyperlink ref="B22" r:id="rId1" display="Source: Worldbank, 2019,  World Development Indicators " xr:uid="{00000000-0004-0000-0A00-000000000000}"/>
    <hyperlink ref="I24" r:id="rId2" xr:uid="{00000000-0004-0000-0A00-000001000000}"/>
    <hyperlink ref="B40" r:id="rId3" display="Source: Statistics Denmark, Statbank Business sectors, Crops in green house  by region, crop and unit" xr:uid="{00000000-0004-0000-0A00-000002000000}"/>
    <hyperlink ref="P40" r:id="rId4" xr:uid="{00000000-0004-0000-0A00-000003000000}"/>
    <hyperlink ref="B49" r:id="rId5" display="Source: Statistics Denmark; statBank Denmark, Businesss sectors/Agricuture etc: Cultivared Area by region, unit and crop" xr:uid="{00000000-0004-0000-0A00-000004000000}"/>
    <hyperlink ref="B91" r:id="rId6" display="Source: Statistics Denmark, Statbank, Business sectors, Crop, Cultivated area by region, unit and crop" xr:uid="{00000000-0004-0000-0A00-000005000000}"/>
    <hyperlink ref="B58" r:id="rId7" display="Source: Statistics Denmark; statBank Denmark, Businesss sectors/Agricuture etc: Cultivared Area by region, unit and crop" xr:uid="{00000000-0004-0000-0A00-000006000000}"/>
  </hyperlinks>
  <pageMargins left="0.7" right="0.7" top="0.78740157499999996" bottom="0.78740157499999996" header="0.3" footer="0.3"/>
  <pageSetup paperSize="9" orientation="portrait" r:id="rId8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B2:Y186"/>
  <sheetViews>
    <sheetView topLeftCell="A50" zoomScale="90" zoomScaleNormal="90" workbookViewId="0">
      <selection activeCell="C172" sqref="C172"/>
    </sheetView>
  </sheetViews>
  <sheetFormatPr defaultColWidth="11.44140625" defaultRowHeight="14.4"/>
  <cols>
    <col min="2" max="2" width="25.44140625" customWidth="1"/>
    <col min="3" max="6" width="10.88671875" customWidth="1"/>
    <col min="19" max="19" width="13.44140625" customWidth="1"/>
  </cols>
  <sheetData>
    <row r="2" spans="2:6" ht="15.6">
      <c r="B2" s="83" t="s">
        <v>793</v>
      </c>
    </row>
    <row r="3" spans="2:6" ht="15.6">
      <c r="B3" s="83"/>
    </row>
    <row r="4" spans="2:6" ht="15.6">
      <c r="B4" s="83"/>
    </row>
    <row r="5" spans="2:6" ht="15.6">
      <c r="B5" s="83" t="s">
        <v>2417</v>
      </c>
    </row>
    <row r="7" spans="2:6">
      <c r="B7" s="13" t="s">
        <v>794</v>
      </c>
      <c r="C7" s="239">
        <v>18.100000000000001</v>
      </c>
      <c r="D7" s="462" t="s">
        <v>531</v>
      </c>
    </row>
    <row r="8" spans="2:6">
      <c r="B8" s="13" t="s">
        <v>532</v>
      </c>
      <c r="C8" s="247">
        <v>256400</v>
      </c>
      <c r="D8" s="462" t="s">
        <v>533</v>
      </c>
      <c r="F8" s="246"/>
    </row>
    <row r="9" spans="2:6" ht="26.4">
      <c r="B9" s="242" t="s">
        <v>795</v>
      </c>
      <c r="C9" s="243">
        <v>72</v>
      </c>
      <c r="D9" s="463" t="s">
        <v>535</v>
      </c>
      <c r="F9" s="246"/>
    </row>
    <row r="10" spans="2:6">
      <c r="B10" s="245"/>
      <c r="C10" s="246"/>
      <c r="D10" s="462"/>
      <c r="F10" s="246"/>
    </row>
    <row r="11" spans="2:6" ht="15.6">
      <c r="B11" s="13" t="s">
        <v>796</v>
      </c>
      <c r="C11" s="247">
        <v>117</v>
      </c>
      <c r="D11" s="462" t="s">
        <v>537</v>
      </c>
      <c r="F11" s="246"/>
    </row>
    <row r="12" spans="2:6">
      <c r="B12" s="245" t="s">
        <v>538</v>
      </c>
      <c r="C12" s="246">
        <v>6430</v>
      </c>
      <c r="D12" s="462" t="s">
        <v>539</v>
      </c>
    </row>
    <row r="13" spans="2:6">
      <c r="B13" s="13" t="s">
        <v>540</v>
      </c>
      <c r="C13" s="247">
        <v>280</v>
      </c>
      <c r="D13" s="462" t="s">
        <v>537</v>
      </c>
    </row>
    <row r="14" spans="2:6">
      <c r="B14" s="245" t="s">
        <v>594</v>
      </c>
      <c r="C14" s="246"/>
      <c r="D14" s="462"/>
    </row>
    <row r="15" spans="2:6" ht="26.4">
      <c r="B15" s="245" t="s">
        <v>538</v>
      </c>
      <c r="C15" s="246">
        <v>15420</v>
      </c>
      <c r="D15" s="462" t="s">
        <v>542</v>
      </c>
    </row>
    <row r="16" spans="2:6">
      <c r="B16" s="248"/>
      <c r="C16" s="249"/>
      <c r="D16" s="463"/>
    </row>
    <row r="17" spans="2:25">
      <c r="B17" s="13" t="s">
        <v>543</v>
      </c>
      <c r="C17" s="239">
        <v>-2</v>
      </c>
      <c r="D17" s="462" t="s">
        <v>544</v>
      </c>
    </row>
    <row r="18" spans="2:25" ht="26.4">
      <c r="B18" s="13" t="s">
        <v>543</v>
      </c>
      <c r="C18" s="239">
        <v>-2.8</v>
      </c>
      <c r="D18" s="462" t="s">
        <v>546</v>
      </c>
    </row>
    <row r="19" spans="2:25">
      <c r="B19" s="245"/>
      <c r="C19" s="246"/>
      <c r="D19" s="246"/>
      <c r="E19" s="462"/>
    </row>
    <row r="20" spans="2:25">
      <c r="B20" s="250" t="s">
        <v>595</v>
      </c>
      <c r="C20" s="251"/>
      <c r="D20" s="251"/>
      <c r="E20" s="251"/>
      <c r="F20" s="246"/>
    </row>
    <row r="21" spans="2:25">
      <c r="B21" s="252" t="s">
        <v>2415</v>
      </c>
      <c r="C21" s="253"/>
      <c r="D21" s="253"/>
      <c r="E21" s="82"/>
      <c r="F21" s="246"/>
    </row>
    <row r="24" spans="2:25" ht="15.6">
      <c r="B24" s="83" t="s">
        <v>134</v>
      </c>
      <c r="C24" s="376"/>
      <c r="D24" s="376"/>
      <c r="E24" s="376"/>
      <c r="F24" s="376"/>
      <c r="G24" s="376"/>
      <c r="H24" s="376"/>
      <c r="I24" s="376"/>
      <c r="J24" s="376"/>
      <c r="K24" s="376"/>
      <c r="L24" s="376"/>
      <c r="M24" s="376"/>
      <c r="N24" s="376"/>
      <c r="O24" s="376"/>
      <c r="P24" s="376"/>
      <c r="Q24" s="376"/>
      <c r="R24" s="376"/>
      <c r="S24" s="376"/>
      <c r="T24" s="376"/>
      <c r="U24" s="376"/>
      <c r="V24" s="376"/>
      <c r="W24" s="376"/>
      <c r="X24" s="376"/>
      <c r="Y24" s="376"/>
    </row>
    <row r="25" spans="2:25" ht="15.6">
      <c r="B25" s="93" t="s">
        <v>797</v>
      </c>
    </row>
    <row r="26" spans="2:25">
      <c r="B26" s="194"/>
      <c r="C26" s="115">
        <v>2024</v>
      </c>
      <c r="D26" s="115">
        <v>2023</v>
      </c>
      <c r="E26" s="115">
        <v>2022</v>
      </c>
      <c r="F26" s="115">
        <v>2021</v>
      </c>
      <c r="G26" s="115">
        <v>2020</v>
      </c>
      <c r="H26" s="115">
        <v>2019</v>
      </c>
      <c r="I26" s="115">
        <v>2018</v>
      </c>
      <c r="J26" s="115">
        <v>2017</v>
      </c>
      <c r="K26" s="115">
        <v>2016</v>
      </c>
      <c r="L26" s="115">
        <v>2015</v>
      </c>
      <c r="M26" s="115">
        <v>2014</v>
      </c>
      <c r="N26" s="194"/>
      <c r="O26" s="117"/>
    </row>
    <row r="27" spans="2:25" ht="21" thickBot="1">
      <c r="B27" s="49" t="s">
        <v>75</v>
      </c>
      <c r="C27" s="1144">
        <v>6495</v>
      </c>
      <c r="D27" s="1207">
        <v>7276</v>
      </c>
      <c r="E27" s="43">
        <v>6783</v>
      </c>
      <c r="F27" s="43">
        <v>6579</v>
      </c>
      <c r="G27" s="43">
        <v>4282</v>
      </c>
      <c r="H27" s="43">
        <v>7925</v>
      </c>
      <c r="I27" s="43">
        <v>6133</v>
      </c>
      <c r="J27" s="43">
        <v>7704</v>
      </c>
      <c r="K27" s="43">
        <v>6609</v>
      </c>
      <c r="L27" s="43">
        <v>6161</v>
      </c>
      <c r="M27" s="43">
        <v>5395</v>
      </c>
      <c r="N27" s="49" t="s">
        <v>798</v>
      </c>
      <c r="O27" s="40"/>
      <c r="T27">
        <v>2022</v>
      </c>
      <c r="U27">
        <v>2023</v>
      </c>
      <c r="V27">
        <v>2024</v>
      </c>
    </row>
    <row r="28" spans="2:25" ht="15" thickBot="1">
      <c r="B28" s="988" t="s">
        <v>113</v>
      </c>
      <c r="C28" s="1204">
        <v>5479</v>
      </c>
      <c r="D28" s="1406">
        <v>5842</v>
      </c>
      <c r="E28" s="44">
        <v>5661</v>
      </c>
      <c r="F28" s="44">
        <v>6032</v>
      </c>
      <c r="G28" s="44">
        <v>3812</v>
      </c>
      <c r="H28" s="44">
        <v>5587</v>
      </c>
      <c r="I28" s="44">
        <v>4911</v>
      </c>
      <c r="J28" s="44">
        <v>5639</v>
      </c>
      <c r="K28" s="44">
        <v>5486</v>
      </c>
      <c r="L28" s="44">
        <v>5163</v>
      </c>
      <c r="M28" s="44">
        <v>4639</v>
      </c>
      <c r="N28" s="84" t="s">
        <v>800</v>
      </c>
      <c r="O28" s="152"/>
      <c r="P28" s="39"/>
      <c r="R28" t="s">
        <v>799</v>
      </c>
      <c r="S28" s="23"/>
      <c r="T28" s="23">
        <f>T34-T33-T32-T31-T30-T29</f>
        <v>1693</v>
      </c>
      <c r="U28" s="23">
        <f>U34-U33-U32-U31-U30-U29</f>
        <v>1520</v>
      </c>
      <c r="V28" s="23">
        <f>V34-V33-V32-V31-V30-V29</f>
        <v>1527</v>
      </c>
    </row>
    <row r="29" spans="2:25" ht="15" thickBot="1">
      <c r="B29" s="988" t="s">
        <v>117</v>
      </c>
      <c r="C29" s="1204">
        <v>159</v>
      </c>
      <c r="D29" s="1406">
        <v>97</v>
      </c>
      <c r="E29" s="44">
        <v>105</v>
      </c>
      <c r="F29" s="44">
        <v>86</v>
      </c>
      <c r="G29" s="44">
        <v>82</v>
      </c>
      <c r="H29" s="44">
        <v>144</v>
      </c>
      <c r="I29" s="44">
        <v>140</v>
      </c>
      <c r="J29" s="44">
        <v>118</v>
      </c>
      <c r="K29" s="44">
        <v>123</v>
      </c>
      <c r="L29" s="44">
        <v>110</v>
      </c>
      <c r="M29" s="44">
        <v>141</v>
      </c>
      <c r="N29" s="84" t="s">
        <v>802</v>
      </c>
      <c r="O29" s="152"/>
      <c r="P29" s="39"/>
      <c r="R29" t="s">
        <v>801</v>
      </c>
      <c r="S29" s="23"/>
      <c r="T29" s="23">
        <f>E30+E44</f>
        <v>75</v>
      </c>
      <c r="U29">
        <f>D30+D44</f>
        <v>857</v>
      </c>
      <c r="V29" s="1407">
        <f>C30+C44</f>
        <v>14</v>
      </c>
    </row>
    <row r="30" spans="2:25" ht="15" thickBot="1">
      <c r="B30" s="988" t="s">
        <v>801</v>
      </c>
      <c r="C30" s="1204">
        <v>8</v>
      </c>
      <c r="D30" s="1406">
        <v>712</v>
      </c>
      <c r="E30" s="44">
        <v>32</v>
      </c>
      <c r="F30" s="44">
        <v>55</v>
      </c>
      <c r="G30" s="44">
        <v>33</v>
      </c>
      <c r="H30" s="44">
        <v>189</v>
      </c>
      <c r="I30" s="44">
        <v>18</v>
      </c>
      <c r="J30" s="44">
        <v>54</v>
      </c>
      <c r="K30" s="44">
        <v>8</v>
      </c>
      <c r="L30" s="44">
        <v>6</v>
      </c>
      <c r="M30" s="44" t="s">
        <v>59</v>
      </c>
      <c r="N30" s="84" t="s">
        <v>801</v>
      </c>
      <c r="O30" s="152"/>
      <c r="R30" t="s">
        <v>220</v>
      </c>
      <c r="S30" s="23"/>
      <c r="T30" s="23">
        <f>E32+E47</f>
        <v>69</v>
      </c>
      <c r="U30">
        <v>64</v>
      </c>
      <c r="V30" s="1407">
        <f>C47</f>
        <v>6</v>
      </c>
    </row>
    <row r="31" spans="2:25" ht="15" thickBot="1">
      <c r="B31" s="988" t="s">
        <v>115</v>
      </c>
      <c r="C31" s="1204">
        <v>17</v>
      </c>
      <c r="D31" s="1406">
        <v>70</v>
      </c>
      <c r="E31" s="44">
        <v>55</v>
      </c>
      <c r="F31" s="44">
        <v>53</v>
      </c>
      <c r="G31" s="44">
        <v>35</v>
      </c>
      <c r="H31" s="44">
        <v>56</v>
      </c>
      <c r="I31" s="44">
        <v>46</v>
      </c>
      <c r="J31" s="44">
        <v>54</v>
      </c>
      <c r="K31" s="44">
        <v>52</v>
      </c>
      <c r="L31" s="44">
        <v>59</v>
      </c>
      <c r="M31" s="44">
        <v>42</v>
      </c>
      <c r="N31" s="84" t="s">
        <v>1694</v>
      </c>
      <c r="O31" s="152"/>
      <c r="P31" s="23"/>
      <c r="R31" t="s">
        <v>139</v>
      </c>
      <c r="S31" s="23"/>
      <c r="T31" s="23">
        <f>E33+E41</f>
        <v>234</v>
      </c>
      <c r="U31">
        <f>D33+D41</f>
        <v>162</v>
      </c>
      <c r="V31" s="1407">
        <f>C33+C41</f>
        <v>113</v>
      </c>
    </row>
    <row r="32" spans="2:25" ht="15" thickBot="1">
      <c r="B32" s="988" t="s">
        <v>220</v>
      </c>
      <c r="C32" s="1205" t="s">
        <v>59</v>
      </c>
      <c r="D32" s="1165" t="s">
        <v>59</v>
      </c>
      <c r="E32" s="44">
        <v>16</v>
      </c>
      <c r="F32" s="44">
        <v>42</v>
      </c>
      <c r="G32" s="44">
        <v>24</v>
      </c>
      <c r="H32" s="44">
        <v>288</v>
      </c>
      <c r="I32" s="44">
        <v>5</v>
      </c>
      <c r="J32" s="44">
        <v>6</v>
      </c>
      <c r="K32" s="44">
        <v>6</v>
      </c>
      <c r="L32" s="44">
        <v>28</v>
      </c>
      <c r="M32" s="44" t="s">
        <v>59</v>
      </c>
      <c r="N32" s="84" t="s">
        <v>220</v>
      </c>
      <c r="O32" s="152"/>
      <c r="P32" s="39"/>
      <c r="R32" t="s">
        <v>803</v>
      </c>
      <c r="S32" s="23"/>
      <c r="T32" s="23">
        <f>E36+E43</f>
        <v>72</v>
      </c>
      <c r="U32">
        <f>D36+D43</f>
        <v>859</v>
      </c>
      <c r="V32" s="1407">
        <f>C36+C43</f>
        <v>56</v>
      </c>
    </row>
    <row r="33" spans="2:22" ht="15" thickBot="1">
      <c r="B33" s="988" t="s">
        <v>139</v>
      </c>
      <c r="C33" s="1204">
        <v>22</v>
      </c>
      <c r="D33" s="1406">
        <v>15</v>
      </c>
      <c r="E33" s="44">
        <v>16</v>
      </c>
      <c r="F33" s="44">
        <v>20</v>
      </c>
      <c r="G33" s="44">
        <v>15</v>
      </c>
      <c r="H33" s="44">
        <v>48</v>
      </c>
      <c r="I33" s="44">
        <v>18</v>
      </c>
      <c r="J33" s="44">
        <v>65</v>
      </c>
      <c r="K33" s="44">
        <v>69</v>
      </c>
      <c r="L33" s="44">
        <v>84</v>
      </c>
      <c r="M33" s="44">
        <v>61</v>
      </c>
      <c r="N33" s="84" t="s">
        <v>139</v>
      </c>
      <c r="O33" s="152"/>
      <c r="R33" t="s">
        <v>113</v>
      </c>
      <c r="S33" s="23"/>
      <c r="T33" s="23">
        <f>E28+E46</f>
        <v>5711</v>
      </c>
      <c r="U33">
        <f>D28+D46</f>
        <v>6002</v>
      </c>
      <c r="V33" s="1407">
        <f>C28+C46</f>
        <v>5480</v>
      </c>
    </row>
    <row r="34" spans="2:22" ht="15" thickBot="1">
      <c r="B34" s="988" t="s">
        <v>197</v>
      </c>
      <c r="C34" s="1204">
        <v>6</v>
      </c>
      <c r="D34" s="1406">
        <v>6</v>
      </c>
      <c r="E34" s="44">
        <v>14</v>
      </c>
      <c r="F34" s="44">
        <v>15</v>
      </c>
      <c r="G34" s="44">
        <v>8</v>
      </c>
      <c r="H34" s="44">
        <v>87</v>
      </c>
      <c r="I34" s="44">
        <v>8</v>
      </c>
      <c r="J34" s="44">
        <v>14</v>
      </c>
      <c r="K34" s="44">
        <v>1</v>
      </c>
      <c r="L34" s="44">
        <v>8</v>
      </c>
      <c r="M34" s="44">
        <v>12</v>
      </c>
      <c r="N34" s="84" t="s">
        <v>197</v>
      </c>
      <c r="O34" s="152"/>
      <c r="R34" t="s">
        <v>3</v>
      </c>
      <c r="S34" s="23"/>
      <c r="T34" s="23">
        <f>E55</f>
        <v>7854</v>
      </c>
      <c r="U34" s="23">
        <f>D55</f>
        <v>9464</v>
      </c>
      <c r="V34" s="23">
        <f>C55</f>
        <v>7196</v>
      </c>
    </row>
    <row r="35" spans="2:22" ht="15" thickBot="1">
      <c r="B35" s="988" t="s">
        <v>361</v>
      </c>
      <c r="C35" s="1204">
        <v>46</v>
      </c>
      <c r="D35" s="1406">
        <v>77</v>
      </c>
      <c r="E35" s="44" t="s">
        <v>59</v>
      </c>
      <c r="F35" s="44">
        <v>14</v>
      </c>
      <c r="G35" s="44">
        <v>6</v>
      </c>
      <c r="H35" s="44" t="s">
        <v>59</v>
      </c>
      <c r="I35" s="44" t="s">
        <v>59</v>
      </c>
      <c r="J35" s="44">
        <v>162</v>
      </c>
      <c r="K35" s="44">
        <v>27</v>
      </c>
      <c r="L35" s="44">
        <v>5</v>
      </c>
      <c r="M35" s="44">
        <v>7</v>
      </c>
      <c r="N35" s="84" t="s">
        <v>809</v>
      </c>
      <c r="O35" s="152"/>
    </row>
    <row r="36" spans="2:22" ht="15" thickBot="1">
      <c r="B36" s="84" t="s">
        <v>803</v>
      </c>
      <c r="C36" s="1143">
        <v>15</v>
      </c>
      <c r="D36" s="1140">
        <v>7</v>
      </c>
      <c r="E36" s="44">
        <v>7</v>
      </c>
      <c r="F36" s="44">
        <v>8</v>
      </c>
      <c r="G36" s="44">
        <v>13</v>
      </c>
      <c r="H36" s="44">
        <v>9</v>
      </c>
      <c r="I36" s="44" t="s">
        <v>59</v>
      </c>
      <c r="J36" s="44">
        <v>1</v>
      </c>
      <c r="K36" s="44" t="s">
        <v>59</v>
      </c>
      <c r="L36" s="44">
        <v>14</v>
      </c>
      <c r="M36" s="44">
        <v>7</v>
      </c>
      <c r="N36" s="84" t="s">
        <v>803</v>
      </c>
      <c r="O36" s="152"/>
    </row>
    <row r="37" spans="2:22" ht="21" thickBot="1">
      <c r="B37" s="988" t="s">
        <v>804</v>
      </c>
      <c r="C37" s="1204">
        <v>591</v>
      </c>
      <c r="D37" s="1406">
        <v>292</v>
      </c>
      <c r="E37" s="44">
        <v>826</v>
      </c>
      <c r="F37" s="44">
        <v>192</v>
      </c>
      <c r="G37" s="44">
        <v>180</v>
      </c>
      <c r="H37" s="44">
        <v>1424</v>
      </c>
      <c r="I37" s="44">
        <v>609</v>
      </c>
      <c r="J37" s="44">
        <v>924</v>
      </c>
      <c r="K37" s="44">
        <v>475</v>
      </c>
      <c r="L37" s="44">
        <v>263</v>
      </c>
      <c r="M37" s="44">
        <v>267</v>
      </c>
      <c r="N37" s="84" t="s">
        <v>805</v>
      </c>
      <c r="O37" s="152"/>
    </row>
    <row r="38" spans="2:22" ht="21" thickBot="1">
      <c r="B38" s="988" t="s">
        <v>806</v>
      </c>
      <c r="C38" s="1204">
        <v>152</v>
      </c>
      <c r="D38" s="1406">
        <v>159</v>
      </c>
      <c r="E38" s="44">
        <v>51</v>
      </c>
      <c r="F38" s="44">
        <v>63</v>
      </c>
      <c r="G38" s="44">
        <v>74</v>
      </c>
      <c r="H38" s="44">
        <v>73</v>
      </c>
      <c r="I38" s="44">
        <v>350</v>
      </c>
      <c r="J38" s="44">
        <v>563</v>
      </c>
      <c r="K38" s="44">
        <v>352</v>
      </c>
      <c r="L38" s="44">
        <v>419</v>
      </c>
      <c r="M38" s="44">
        <v>209</v>
      </c>
      <c r="N38" s="84" t="s">
        <v>807</v>
      </c>
      <c r="O38" s="152"/>
    </row>
    <row r="39" spans="2:22" ht="15" thickBot="1">
      <c r="B39" s="84"/>
      <c r="C39" s="1143"/>
      <c r="D39" s="1140"/>
      <c r="E39" s="44"/>
      <c r="F39" s="44"/>
      <c r="G39" s="44"/>
      <c r="H39" s="44"/>
      <c r="I39" s="44"/>
      <c r="J39" s="44"/>
      <c r="K39" s="44"/>
      <c r="L39" s="44"/>
      <c r="M39" s="44"/>
      <c r="N39" s="84"/>
      <c r="O39" s="152"/>
    </row>
    <row r="40" spans="2:22" ht="21" thickBot="1">
      <c r="B40" s="49" t="s">
        <v>66</v>
      </c>
      <c r="C40" s="1144">
        <v>701</v>
      </c>
      <c r="D40" s="1207">
        <v>2188</v>
      </c>
      <c r="E40" s="43">
        <v>1071</v>
      </c>
      <c r="F40" s="43">
        <v>885</v>
      </c>
      <c r="G40" s="43">
        <v>935</v>
      </c>
      <c r="H40" s="43">
        <v>1391</v>
      </c>
      <c r="I40" s="43">
        <v>1376</v>
      </c>
      <c r="J40" s="43">
        <v>2282</v>
      </c>
      <c r="K40" s="43">
        <v>1845</v>
      </c>
      <c r="L40" s="43">
        <v>1563</v>
      </c>
      <c r="M40" s="43">
        <v>1334</v>
      </c>
      <c r="N40" s="49" t="s">
        <v>808</v>
      </c>
      <c r="O40" s="40"/>
      <c r="Q40" s="464"/>
    </row>
    <row r="41" spans="2:22" ht="15" thickBot="1">
      <c r="B41" s="988" t="s">
        <v>139</v>
      </c>
      <c r="C41" s="1204">
        <v>91</v>
      </c>
      <c r="D41" s="1406">
        <v>147</v>
      </c>
      <c r="E41" s="44">
        <v>218</v>
      </c>
      <c r="F41" s="44">
        <v>177</v>
      </c>
      <c r="G41" s="44">
        <v>161</v>
      </c>
      <c r="H41" s="44">
        <v>285</v>
      </c>
      <c r="I41" s="44">
        <v>258</v>
      </c>
      <c r="J41" s="44">
        <v>901</v>
      </c>
      <c r="K41" s="44">
        <v>368</v>
      </c>
      <c r="L41" s="44">
        <v>545</v>
      </c>
      <c r="M41" s="44">
        <v>540</v>
      </c>
      <c r="N41" s="84" t="s">
        <v>139</v>
      </c>
      <c r="O41" s="152"/>
      <c r="Q41" s="23"/>
    </row>
    <row r="42" spans="2:22" ht="15" thickBot="1">
      <c r="B42" s="988" t="s">
        <v>361</v>
      </c>
      <c r="C42" s="1204">
        <v>249</v>
      </c>
      <c r="D42" s="1406">
        <v>135</v>
      </c>
      <c r="E42" s="44">
        <v>173</v>
      </c>
      <c r="F42" s="44">
        <v>95</v>
      </c>
      <c r="G42" s="44">
        <v>58</v>
      </c>
      <c r="H42" s="44">
        <v>21</v>
      </c>
      <c r="I42" s="44">
        <v>66</v>
      </c>
      <c r="J42" s="44">
        <v>322</v>
      </c>
      <c r="K42" s="44">
        <v>52</v>
      </c>
      <c r="L42" s="44">
        <v>25</v>
      </c>
      <c r="M42" s="44">
        <v>42</v>
      </c>
      <c r="N42" s="84" t="s">
        <v>809</v>
      </c>
      <c r="O42" s="152"/>
      <c r="P42" s="23"/>
      <c r="Q42" s="23"/>
    </row>
    <row r="43" spans="2:22" ht="15" thickBot="1">
      <c r="B43" s="988" t="s">
        <v>803</v>
      </c>
      <c r="C43" s="1204">
        <v>41</v>
      </c>
      <c r="D43" s="1406">
        <v>852</v>
      </c>
      <c r="E43" s="44">
        <v>65</v>
      </c>
      <c r="F43" s="44">
        <v>88</v>
      </c>
      <c r="G43" s="44">
        <v>433</v>
      </c>
      <c r="H43" s="44">
        <v>795</v>
      </c>
      <c r="I43" s="44">
        <v>389</v>
      </c>
      <c r="J43" s="44">
        <v>98</v>
      </c>
      <c r="K43" s="44">
        <v>130</v>
      </c>
      <c r="L43" s="44">
        <v>340</v>
      </c>
      <c r="M43" s="44">
        <v>118</v>
      </c>
      <c r="N43" s="84" t="s">
        <v>803</v>
      </c>
      <c r="O43" s="152"/>
    </row>
    <row r="44" spans="2:22" ht="15" thickBot="1">
      <c r="B44" s="988" t="s">
        <v>801</v>
      </c>
      <c r="C44" s="1204">
        <v>6</v>
      </c>
      <c r="D44" s="1406">
        <v>145</v>
      </c>
      <c r="E44" s="44">
        <v>43</v>
      </c>
      <c r="F44" s="44">
        <v>49</v>
      </c>
      <c r="G44" s="44" t="s">
        <v>59</v>
      </c>
      <c r="H44" s="44">
        <v>13</v>
      </c>
      <c r="I44" s="44">
        <v>17</v>
      </c>
      <c r="J44" s="44">
        <v>13</v>
      </c>
      <c r="K44" s="44">
        <v>44</v>
      </c>
      <c r="L44" s="44">
        <v>37</v>
      </c>
      <c r="M44" s="44">
        <v>3</v>
      </c>
      <c r="N44" s="84" t="s">
        <v>801</v>
      </c>
      <c r="O44" s="152"/>
    </row>
    <row r="45" spans="2:22" ht="15" thickBot="1">
      <c r="B45" s="84" t="s">
        <v>222</v>
      </c>
      <c r="C45" s="1143" t="s">
        <v>59</v>
      </c>
      <c r="D45" s="1140">
        <v>2</v>
      </c>
      <c r="E45" s="44">
        <v>16</v>
      </c>
      <c r="F45" s="44">
        <v>24</v>
      </c>
      <c r="G45" s="44">
        <v>2</v>
      </c>
      <c r="H45" s="44" t="s">
        <v>59</v>
      </c>
      <c r="I45" s="44" t="s">
        <v>59</v>
      </c>
      <c r="J45" s="44">
        <v>11</v>
      </c>
      <c r="K45" s="44" t="s">
        <v>59</v>
      </c>
      <c r="L45" s="44">
        <v>9</v>
      </c>
      <c r="M45" s="44" t="s">
        <v>59</v>
      </c>
      <c r="N45" s="84" t="s">
        <v>1695</v>
      </c>
      <c r="O45" s="152"/>
      <c r="Q45" s="39"/>
    </row>
    <row r="46" spans="2:22" ht="15" thickBot="1">
      <c r="B46" s="988" t="s">
        <v>113</v>
      </c>
      <c r="C46" s="1204">
        <v>1</v>
      </c>
      <c r="D46" s="1406">
        <v>160</v>
      </c>
      <c r="E46" s="44">
        <v>50</v>
      </c>
      <c r="F46" s="44">
        <v>20</v>
      </c>
      <c r="G46" s="44" t="s">
        <v>59</v>
      </c>
      <c r="H46" s="44">
        <v>197</v>
      </c>
      <c r="I46" s="44">
        <v>55</v>
      </c>
      <c r="J46" s="44">
        <v>11</v>
      </c>
      <c r="K46" s="44">
        <v>11</v>
      </c>
      <c r="L46" s="44">
        <v>233</v>
      </c>
      <c r="M46" s="44">
        <v>10</v>
      </c>
      <c r="N46" s="84" t="s">
        <v>800</v>
      </c>
      <c r="O46" s="152"/>
    </row>
    <row r="47" spans="2:22" ht="15" thickBot="1">
      <c r="B47" s="988" t="s">
        <v>220</v>
      </c>
      <c r="C47" s="1204">
        <v>6</v>
      </c>
      <c r="D47" s="1406">
        <v>64</v>
      </c>
      <c r="E47" s="44">
        <v>53</v>
      </c>
      <c r="F47" s="44">
        <v>11</v>
      </c>
      <c r="G47" s="44">
        <v>6</v>
      </c>
      <c r="H47" s="44">
        <v>1</v>
      </c>
      <c r="I47" s="44">
        <v>24</v>
      </c>
      <c r="J47" s="44">
        <v>34</v>
      </c>
      <c r="K47" s="44">
        <v>23</v>
      </c>
      <c r="L47" s="44" t="s">
        <v>59</v>
      </c>
      <c r="M47" s="44">
        <v>47</v>
      </c>
      <c r="N47" s="84" t="s">
        <v>220</v>
      </c>
      <c r="O47" s="152"/>
    </row>
    <row r="48" spans="2:22" ht="15" thickBot="1">
      <c r="B48" s="84" t="s">
        <v>1696</v>
      </c>
      <c r="C48" s="1145" t="s">
        <v>59</v>
      </c>
      <c r="D48" s="1168" t="s">
        <v>59</v>
      </c>
      <c r="E48" s="44" t="s">
        <v>59</v>
      </c>
      <c r="F48" s="44">
        <v>10</v>
      </c>
      <c r="G48" s="44" t="s">
        <v>59</v>
      </c>
      <c r="H48" s="44" t="s">
        <v>59</v>
      </c>
      <c r="I48" s="44">
        <v>10</v>
      </c>
      <c r="J48" s="44">
        <v>1</v>
      </c>
      <c r="K48" s="44" t="s">
        <v>59</v>
      </c>
      <c r="L48" s="44">
        <v>8</v>
      </c>
      <c r="M48" s="44">
        <v>10</v>
      </c>
      <c r="N48" s="84" t="s">
        <v>1696</v>
      </c>
      <c r="O48" s="152"/>
    </row>
    <row r="49" spans="2:15" ht="15" thickBot="1">
      <c r="B49" s="84" t="s">
        <v>197</v>
      </c>
      <c r="C49" s="1143">
        <v>1</v>
      </c>
      <c r="D49" s="1140">
        <v>4</v>
      </c>
      <c r="E49" s="44">
        <v>8</v>
      </c>
      <c r="F49" s="44">
        <v>10</v>
      </c>
      <c r="G49" s="44" t="s">
        <v>59</v>
      </c>
      <c r="H49" s="44" t="s">
        <v>59</v>
      </c>
      <c r="I49" s="44">
        <v>3</v>
      </c>
      <c r="J49" s="44">
        <v>3</v>
      </c>
      <c r="K49" s="44">
        <v>4</v>
      </c>
      <c r="L49" s="44">
        <v>3</v>
      </c>
      <c r="M49" s="44" t="s">
        <v>59</v>
      </c>
      <c r="N49" s="84" t="s">
        <v>197</v>
      </c>
      <c r="O49" s="152"/>
    </row>
    <row r="50" spans="2:15" ht="15" thickBot="1">
      <c r="B50" s="84" t="s">
        <v>128</v>
      </c>
      <c r="C50" s="1145" t="s">
        <v>59</v>
      </c>
      <c r="D50" s="1168" t="s">
        <v>59</v>
      </c>
      <c r="E50" s="44" t="s">
        <v>59</v>
      </c>
      <c r="F50" s="44">
        <v>7</v>
      </c>
      <c r="G50" s="44" t="s">
        <v>59</v>
      </c>
      <c r="H50" s="44" t="s">
        <v>59</v>
      </c>
      <c r="I50" s="44">
        <v>15</v>
      </c>
      <c r="J50" s="44">
        <v>5</v>
      </c>
      <c r="K50" s="44" t="s">
        <v>59</v>
      </c>
      <c r="L50" s="44">
        <v>13</v>
      </c>
      <c r="M50" s="44">
        <v>20</v>
      </c>
      <c r="N50" s="84" t="s">
        <v>1697</v>
      </c>
      <c r="O50" s="152"/>
    </row>
    <row r="51" spans="2:15" ht="15" thickBot="1">
      <c r="B51" s="84" t="s">
        <v>115</v>
      </c>
      <c r="C51" s="1145">
        <v>24</v>
      </c>
      <c r="D51" s="1168" t="s">
        <v>59</v>
      </c>
      <c r="E51" s="44">
        <v>10</v>
      </c>
      <c r="F51" s="44">
        <v>5</v>
      </c>
      <c r="G51" s="44">
        <v>2</v>
      </c>
      <c r="H51" s="44" t="s">
        <v>59</v>
      </c>
      <c r="I51" s="44" t="s">
        <v>59</v>
      </c>
      <c r="J51" s="44" t="s">
        <v>59</v>
      </c>
      <c r="K51" s="44" t="s">
        <v>59</v>
      </c>
      <c r="L51" s="44" t="s">
        <v>59</v>
      </c>
      <c r="M51" s="44" t="s">
        <v>59</v>
      </c>
      <c r="N51" s="84" t="s">
        <v>1694</v>
      </c>
      <c r="O51" s="152"/>
    </row>
    <row r="52" spans="2:15" ht="15" thickBot="1">
      <c r="B52" s="84" t="s">
        <v>117</v>
      </c>
      <c r="C52" s="1143">
        <v>36</v>
      </c>
      <c r="D52" s="1140">
        <v>3</v>
      </c>
      <c r="E52" s="44" t="s">
        <v>59</v>
      </c>
      <c r="F52" s="44">
        <v>2</v>
      </c>
      <c r="G52" s="44" t="s">
        <v>59</v>
      </c>
      <c r="H52" s="44" t="s">
        <v>59</v>
      </c>
      <c r="I52" s="44" t="s">
        <v>59</v>
      </c>
      <c r="J52" s="44">
        <v>1</v>
      </c>
      <c r="K52" s="44" t="s">
        <v>59</v>
      </c>
      <c r="L52" s="44" t="s">
        <v>59</v>
      </c>
      <c r="M52" s="44" t="s">
        <v>59</v>
      </c>
      <c r="N52" s="84" t="s">
        <v>802</v>
      </c>
      <c r="O52" s="152"/>
    </row>
    <row r="53" spans="2:15" ht="21" thickBot="1">
      <c r="B53" s="84" t="s">
        <v>804</v>
      </c>
      <c r="C53" s="1143">
        <v>482</v>
      </c>
      <c r="D53" s="1140">
        <v>484</v>
      </c>
      <c r="E53" s="44">
        <v>175</v>
      </c>
      <c r="F53" s="44">
        <v>287</v>
      </c>
      <c r="G53" s="44">
        <v>117</v>
      </c>
      <c r="H53" s="44">
        <v>11</v>
      </c>
      <c r="I53" s="44">
        <v>433</v>
      </c>
      <c r="J53" s="44">
        <v>764</v>
      </c>
      <c r="K53" s="44">
        <v>1118</v>
      </c>
      <c r="L53" s="44">
        <v>234</v>
      </c>
      <c r="M53" s="44">
        <v>319</v>
      </c>
      <c r="N53" s="84" t="s">
        <v>805</v>
      </c>
      <c r="O53" s="152"/>
    </row>
    <row r="54" spans="2:15" ht="20.399999999999999">
      <c r="B54" s="97" t="s">
        <v>806</v>
      </c>
      <c r="C54" s="1166">
        <v>139</v>
      </c>
      <c r="D54" s="1266">
        <v>196</v>
      </c>
      <c r="E54" s="109">
        <v>261</v>
      </c>
      <c r="F54" s="109">
        <v>101</v>
      </c>
      <c r="G54" s="109">
        <v>156</v>
      </c>
      <c r="H54" s="109">
        <v>68</v>
      </c>
      <c r="I54" s="109">
        <v>87</v>
      </c>
      <c r="J54" s="109">
        <v>118</v>
      </c>
      <c r="K54" s="109">
        <v>79</v>
      </c>
      <c r="L54" s="109">
        <v>96</v>
      </c>
      <c r="M54" s="109">
        <v>133</v>
      </c>
      <c r="N54" s="97" t="s">
        <v>807</v>
      </c>
      <c r="O54" s="152"/>
    </row>
    <row r="55" spans="2:15">
      <c r="B55" s="127" t="s">
        <v>52</v>
      </c>
      <c r="C55" s="1206">
        <f>C40+C27</f>
        <v>7196</v>
      </c>
      <c r="D55" s="1206">
        <f>D40+D27</f>
        <v>9464</v>
      </c>
      <c r="E55" s="73">
        <f>E40+E27</f>
        <v>7854</v>
      </c>
      <c r="F55" s="73">
        <v>7464</v>
      </c>
      <c r="G55" s="73">
        <v>5217</v>
      </c>
      <c r="H55" s="73">
        <v>9316</v>
      </c>
      <c r="I55" s="73">
        <v>7509</v>
      </c>
      <c r="J55" s="73">
        <v>9986</v>
      </c>
      <c r="K55" s="73">
        <v>8454</v>
      </c>
      <c r="L55" s="73">
        <v>7724</v>
      </c>
      <c r="M55" s="73">
        <v>6729</v>
      </c>
      <c r="N55" s="194" t="s">
        <v>810</v>
      </c>
      <c r="O55" s="117"/>
    </row>
    <row r="56" spans="2:15">
      <c r="B56" s="465" t="s">
        <v>811</v>
      </c>
      <c r="C56" s="23"/>
      <c r="D56" s="23"/>
      <c r="E56" s="23"/>
      <c r="F56" s="23"/>
      <c r="G56" s="23"/>
      <c r="H56" s="23"/>
      <c r="I56" s="23"/>
    </row>
    <row r="57" spans="2:15">
      <c r="B57" s="193" t="s">
        <v>2037</v>
      </c>
      <c r="C57" s="23"/>
      <c r="D57" s="23"/>
      <c r="E57" s="23"/>
      <c r="F57" s="23"/>
      <c r="G57" s="23"/>
      <c r="H57" s="23"/>
      <c r="I57" s="23"/>
      <c r="J57" s="23"/>
    </row>
    <row r="58" spans="2:15">
      <c r="B58" s="138"/>
      <c r="C58" s="23"/>
      <c r="D58" s="23"/>
      <c r="E58" s="23"/>
      <c r="F58" s="23"/>
      <c r="G58" s="23"/>
      <c r="H58" s="23"/>
      <c r="I58" s="23"/>
    </row>
    <row r="59" spans="2:15">
      <c r="B59" s="138"/>
      <c r="C59" s="23"/>
      <c r="D59" s="23"/>
      <c r="E59" s="23"/>
      <c r="F59" s="23"/>
      <c r="G59" s="23"/>
      <c r="H59" s="23"/>
      <c r="I59" s="23"/>
    </row>
    <row r="60" spans="2:15" ht="15.6">
      <c r="B60" s="83" t="s">
        <v>134</v>
      </c>
      <c r="C60" s="23"/>
      <c r="D60" s="23"/>
      <c r="E60" s="23"/>
      <c r="F60" s="23"/>
      <c r="G60" s="23"/>
      <c r="H60" s="23"/>
      <c r="I60" s="23"/>
    </row>
    <row r="61" spans="2:15">
      <c r="B61" s="93" t="s">
        <v>812</v>
      </c>
      <c r="C61" s="23"/>
      <c r="D61" s="23"/>
      <c r="E61" s="23"/>
      <c r="F61" s="23"/>
      <c r="G61" s="23"/>
      <c r="H61" s="23"/>
      <c r="I61" s="23"/>
    </row>
    <row r="62" spans="2:15">
      <c r="B62" s="194"/>
      <c r="C62" s="115">
        <v>2024</v>
      </c>
      <c r="D62" s="115">
        <v>2023</v>
      </c>
      <c r="E62" s="115">
        <v>2022</v>
      </c>
      <c r="F62" s="115">
        <v>2021</v>
      </c>
      <c r="G62" s="115">
        <v>2020</v>
      </c>
      <c r="H62" s="115">
        <v>2019</v>
      </c>
      <c r="I62" s="115">
        <v>2018</v>
      </c>
      <c r="J62" s="115">
        <v>2017</v>
      </c>
      <c r="K62" s="115">
        <v>2016</v>
      </c>
      <c r="L62" s="115">
        <v>2015</v>
      </c>
    </row>
    <row r="63" spans="2:15" ht="15" thickBot="1">
      <c r="B63" s="49" t="s">
        <v>75</v>
      </c>
      <c r="C63" s="1144">
        <v>4753</v>
      </c>
      <c r="D63" s="1207">
        <v>4286</v>
      </c>
      <c r="E63" s="43">
        <v>2861</v>
      </c>
      <c r="F63" s="43">
        <v>3968</v>
      </c>
      <c r="G63" s="43">
        <v>3220</v>
      </c>
      <c r="H63" s="43">
        <v>4267</v>
      </c>
      <c r="I63" s="43">
        <v>4428</v>
      </c>
      <c r="J63" s="43">
        <v>4915</v>
      </c>
      <c r="K63" s="43">
        <v>4561</v>
      </c>
      <c r="L63" s="43">
        <v>4503</v>
      </c>
    </row>
    <row r="64" spans="2:15" ht="15" thickBot="1">
      <c r="B64" s="84" t="s">
        <v>113</v>
      </c>
      <c r="C64" s="1143">
        <v>3883</v>
      </c>
      <c r="D64" s="1140">
        <v>3614</v>
      </c>
      <c r="E64" s="44">
        <v>2544</v>
      </c>
      <c r="F64" s="44">
        <v>3633</v>
      </c>
      <c r="G64" s="44">
        <v>2558</v>
      </c>
      <c r="H64" s="44">
        <v>3242</v>
      </c>
      <c r="I64" s="44">
        <v>3115</v>
      </c>
      <c r="J64" s="44">
        <v>3477</v>
      </c>
      <c r="K64" s="44">
        <v>3800</v>
      </c>
      <c r="L64" s="44">
        <v>3771</v>
      </c>
      <c r="M64" s="39"/>
    </row>
    <row r="65" spans="2:13" ht="15" thickBot="1">
      <c r="B65" s="84" t="s">
        <v>117</v>
      </c>
      <c r="C65" s="1143">
        <v>478</v>
      </c>
      <c r="D65" s="1140">
        <v>56</v>
      </c>
      <c r="E65" s="44">
        <v>71</v>
      </c>
      <c r="F65" s="44">
        <v>142</v>
      </c>
      <c r="G65" s="44">
        <v>282</v>
      </c>
      <c r="H65" s="44">
        <v>123</v>
      </c>
      <c r="I65" s="44">
        <v>154</v>
      </c>
      <c r="J65" s="44">
        <v>140</v>
      </c>
      <c r="K65" s="44">
        <v>190</v>
      </c>
      <c r="L65" s="44">
        <v>142</v>
      </c>
      <c r="M65" s="39"/>
    </row>
    <row r="66" spans="2:13" ht="15" thickBot="1">
      <c r="B66" s="84" t="s">
        <v>139</v>
      </c>
      <c r="C66" s="1143">
        <v>19</v>
      </c>
      <c r="D66" s="1140">
        <v>19</v>
      </c>
      <c r="E66" s="44">
        <v>12</v>
      </c>
      <c r="F66" s="44">
        <v>47.9</v>
      </c>
      <c r="G66" s="44">
        <v>22</v>
      </c>
      <c r="H66" s="44">
        <v>58</v>
      </c>
      <c r="I66" s="44">
        <v>26</v>
      </c>
      <c r="J66" s="44">
        <v>102</v>
      </c>
      <c r="K66" s="44">
        <v>79</v>
      </c>
      <c r="L66" s="44">
        <v>99</v>
      </c>
      <c r="M66" s="39"/>
    </row>
    <row r="67" spans="2:13" ht="15" thickBot="1">
      <c r="B67" s="84" t="s">
        <v>115</v>
      </c>
      <c r="C67" s="1143">
        <v>2</v>
      </c>
      <c r="D67" s="1140">
        <v>91</v>
      </c>
      <c r="E67" s="44">
        <v>22</v>
      </c>
      <c r="F67" s="44">
        <v>28.9</v>
      </c>
      <c r="G67" s="44">
        <v>18</v>
      </c>
      <c r="H67" s="44">
        <v>28</v>
      </c>
      <c r="I67" s="44">
        <v>23</v>
      </c>
      <c r="J67" s="44">
        <v>92</v>
      </c>
      <c r="K67" s="44">
        <v>11</v>
      </c>
      <c r="L67" s="44">
        <v>35</v>
      </c>
      <c r="M67" s="39"/>
    </row>
    <row r="68" spans="2:13" ht="15" thickBot="1">
      <c r="B68" s="84" t="s">
        <v>220</v>
      </c>
      <c r="C68" s="1145" t="s">
        <v>59</v>
      </c>
      <c r="D68" s="1168" t="s">
        <v>59</v>
      </c>
      <c r="E68" s="44">
        <v>6</v>
      </c>
      <c r="F68" s="44">
        <v>10.4</v>
      </c>
      <c r="G68" s="44">
        <v>2.2000000000000002</v>
      </c>
      <c r="H68" s="44">
        <v>140.6</v>
      </c>
      <c r="I68" s="44">
        <v>2.9</v>
      </c>
      <c r="J68" s="44">
        <v>3.2</v>
      </c>
      <c r="K68" s="44">
        <v>1.6</v>
      </c>
      <c r="L68" s="44">
        <v>10.9</v>
      </c>
      <c r="M68" s="39"/>
    </row>
    <row r="69" spans="2:13" ht="15" thickBot="1">
      <c r="B69" s="84" t="s">
        <v>803</v>
      </c>
      <c r="C69" s="1143">
        <v>9</v>
      </c>
      <c r="D69" s="1140">
        <v>6</v>
      </c>
      <c r="E69" s="44">
        <v>10</v>
      </c>
      <c r="F69" s="44">
        <v>10.199999999999999</v>
      </c>
      <c r="G69" s="44">
        <v>6.7</v>
      </c>
      <c r="H69" s="44">
        <v>7.2</v>
      </c>
      <c r="I69" s="62">
        <v>0</v>
      </c>
      <c r="J69" s="44">
        <v>1.8</v>
      </c>
      <c r="K69" s="62">
        <v>0</v>
      </c>
      <c r="L69" s="44">
        <v>11.5</v>
      </c>
      <c r="M69" s="39"/>
    </row>
    <row r="70" spans="2:13" ht="15" thickBot="1">
      <c r="B70" s="84" t="s">
        <v>197</v>
      </c>
      <c r="C70" s="1143">
        <v>4</v>
      </c>
      <c r="D70" s="1140">
        <v>3</v>
      </c>
      <c r="E70" s="44">
        <v>3</v>
      </c>
      <c r="F70" s="44">
        <v>6.3</v>
      </c>
      <c r="G70" s="44">
        <v>26.9</v>
      </c>
      <c r="H70" s="44">
        <v>161.1</v>
      </c>
      <c r="I70" s="44">
        <v>6.2</v>
      </c>
      <c r="J70" s="44">
        <v>9.9</v>
      </c>
      <c r="K70" s="62">
        <v>0</v>
      </c>
      <c r="L70" s="44">
        <v>7.1</v>
      </c>
      <c r="M70" s="39"/>
    </row>
    <row r="71" spans="2:13" ht="15" thickBot="1">
      <c r="B71" s="84" t="s">
        <v>801</v>
      </c>
      <c r="C71" s="1143">
        <v>1</v>
      </c>
      <c r="D71" s="1140">
        <v>164</v>
      </c>
      <c r="E71" s="44">
        <v>9</v>
      </c>
      <c r="F71" s="44">
        <v>5.7</v>
      </c>
      <c r="G71" s="44">
        <v>14</v>
      </c>
      <c r="H71" s="44">
        <v>186.2</v>
      </c>
      <c r="I71" s="44">
        <v>1.6</v>
      </c>
      <c r="J71" s="44">
        <v>8.9</v>
      </c>
      <c r="K71" s="44">
        <v>3</v>
      </c>
      <c r="L71" s="62">
        <v>0</v>
      </c>
      <c r="M71" s="39"/>
    </row>
    <row r="72" spans="2:13" ht="15" thickBot="1">
      <c r="B72" s="84" t="s">
        <v>361</v>
      </c>
      <c r="C72" s="1143">
        <v>3</v>
      </c>
      <c r="D72" s="1140">
        <v>4</v>
      </c>
      <c r="E72" s="44" t="s">
        <v>59</v>
      </c>
      <c r="F72" s="44">
        <v>3</v>
      </c>
      <c r="G72" s="62">
        <v>0</v>
      </c>
      <c r="H72" s="62">
        <v>0</v>
      </c>
      <c r="I72" s="44">
        <v>1.4</v>
      </c>
      <c r="J72" s="44">
        <v>41.5</v>
      </c>
      <c r="K72" s="44">
        <v>8.8000000000000007</v>
      </c>
      <c r="L72" s="44">
        <v>2.4</v>
      </c>
    </row>
    <row r="73" spans="2:13" ht="15" thickBot="1">
      <c r="B73" s="84" t="s">
        <v>129</v>
      </c>
      <c r="C73" s="1249">
        <f>C63-C64-C65-C66-C67-C69-C70-C71-C72</f>
        <v>354</v>
      </c>
      <c r="D73" s="282">
        <f>D63-D64-D65-D66-D67-D69-D70-D71-D72</f>
        <v>329</v>
      </c>
      <c r="E73" s="282">
        <f t="shared" ref="E73:L73" si="0">E63-(SUM(E64:E72))</f>
        <v>184</v>
      </c>
      <c r="F73" s="282">
        <f t="shared" si="0"/>
        <v>80.599999999999909</v>
      </c>
      <c r="G73" s="282">
        <f t="shared" si="0"/>
        <v>290.20000000000027</v>
      </c>
      <c r="H73" s="282">
        <f t="shared" si="0"/>
        <v>320.90000000000055</v>
      </c>
      <c r="I73" s="282">
        <f t="shared" si="0"/>
        <v>1097.9000000000001</v>
      </c>
      <c r="J73" s="282">
        <f t="shared" si="0"/>
        <v>1038.6999999999998</v>
      </c>
      <c r="K73" s="282">
        <f t="shared" si="0"/>
        <v>467.59999999999991</v>
      </c>
      <c r="L73" s="282">
        <f t="shared" si="0"/>
        <v>424.09999999999991</v>
      </c>
      <c r="M73" s="39"/>
    </row>
    <row r="74" spans="2:13" ht="15" thickBot="1">
      <c r="B74" s="49" t="s">
        <v>66</v>
      </c>
      <c r="C74" s="1144">
        <v>423</v>
      </c>
      <c r="D74" s="1207">
        <v>1086</v>
      </c>
      <c r="E74" s="43">
        <v>535</v>
      </c>
      <c r="F74" s="43">
        <v>448</v>
      </c>
      <c r="G74" s="43">
        <v>579</v>
      </c>
      <c r="H74" s="43">
        <v>974</v>
      </c>
      <c r="I74" s="43">
        <v>628</v>
      </c>
      <c r="J74" s="43">
        <v>1944</v>
      </c>
      <c r="K74" s="43">
        <v>1033</v>
      </c>
      <c r="L74" s="43">
        <v>1416</v>
      </c>
    </row>
    <row r="75" spans="2:13" ht="15" thickBot="1">
      <c r="B75" s="84" t="s">
        <v>139</v>
      </c>
      <c r="C75" s="1200">
        <v>94</v>
      </c>
      <c r="D75" s="95">
        <v>144</v>
      </c>
      <c r="E75" s="44">
        <v>214</v>
      </c>
      <c r="F75" s="44">
        <v>236.4</v>
      </c>
      <c r="G75" s="44">
        <v>193</v>
      </c>
      <c r="H75" s="44">
        <v>285</v>
      </c>
      <c r="I75" s="44">
        <v>273</v>
      </c>
      <c r="J75" s="44">
        <v>1079</v>
      </c>
      <c r="K75" s="44">
        <v>498</v>
      </c>
      <c r="L75" s="44">
        <v>956</v>
      </c>
    </row>
    <row r="76" spans="2:13" ht="15" thickBot="1">
      <c r="B76" s="84" t="s">
        <v>803</v>
      </c>
      <c r="C76" s="1200">
        <v>29</v>
      </c>
      <c r="D76" s="95">
        <v>236</v>
      </c>
      <c r="E76" s="44">
        <v>46</v>
      </c>
      <c r="F76" s="44">
        <v>71.599999999999994</v>
      </c>
      <c r="G76" s="44">
        <v>360</v>
      </c>
      <c r="H76" s="44">
        <v>542</v>
      </c>
      <c r="I76" s="44">
        <v>176</v>
      </c>
      <c r="J76" s="44">
        <v>48</v>
      </c>
      <c r="K76" s="44">
        <v>103</v>
      </c>
      <c r="L76" s="44">
        <v>171</v>
      </c>
    </row>
    <row r="77" spans="2:13" ht="15" thickBot="1">
      <c r="B77" s="84" t="s">
        <v>361</v>
      </c>
      <c r="C77" s="1200">
        <v>46</v>
      </c>
      <c r="D77" s="95">
        <v>29</v>
      </c>
      <c r="E77" s="44">
        <v>142</v>
      </c>
      <c r="F77" s="44">
        <v>24.3</v>
      </c>
      <c r="G77" s="44">
        <v>4</v>
      </c>
      <c r="H77" s="44">
        <v>6</v>
      </c>
      <c r="I77" s="44">
        <v>22</v>
      </c>
      <c r="J77" s="44">
        <v>481</v>
      </c>
      <c r="K77" s="44">
        <v>17</v>
      </c>
      <c r="L77" s="44">
        <v>6</v>
      </c>
    </row>
    <row r="78" spans="2:13" ht="15" thickBot="1">
      <c r="B78" s="84" t="s">
        <v>113</v>
      </c>
      <c r="C78" s="1200">
        <v>0</v>
      </c>
      <c r="D78" s="95">
        <v>26</v>
      </c>
      <c r="E78" s="44">
        <v>4</v>
      </c>
      <c r="F78" s="44">
        <v>15</v>
      </c>
      <c r="G78" s="62">
        <v>0</v>
      </c>
      <c r="H78" s="44">
        <v>103.5</v>
      </c>
      <c r="I78" s="44">
        <v>4.5</v>
      </c>
      <c r="J78" s="44">
        <v>7.2</v>
      </c>
      <c r="K78" s="44">
        <v>4.5999999999999996</v>
      </c>
      <c r="L78" s="44">
        <v>132.6</v>
      </c>
    </row>
    <row r="79" spans="2:13" ht="15" thickBot="1">
      <c r="B79" s="84" t="s">
        <v>128</v>
      </c>
      <c r="C79" s="89" t="s">
        <v>59</v>
      </c>
      <c r="D79" s="59" t="s">
        <v>59</v>
      </c>
      <c r="E79" s="44" t="s">
        <v>59</v>
      </c>
      <c r="F79" s="44">
        <v>8.5</v>
      </c>
      <c r="G79" s="62">
        <v>0</v>
      </c>
      <c r="H79" s="62">
        <v>0</v>
      </c>
      <c r="I79" s="62">
        <v>0</v>
      </c>
      <c r="J79" s="62">
        <v>0</v>
      </c>
      <c r="K79" s="62">
        <v>0</v>
      </c>
      <c r="L79" s="62">
        <v>0</v>
      </c>
    </row>
    <row r="80" spans="2:13" ht="15" thickBot="1">
      <c r="B80" s="84" t="s">
        <v>1696</v>
      </c>
      <c r="C80" s="89" t="s">
        <v>59</v>
      </c>
      <c r="D80" s="59" t="s">
        <v>59</v>
      </c>
      <c r="E80" s="44" t="s">
        <v>59</v>
      </c>
      <c r="F80" s="44">
        <v>5.8</v>
      </c>
      <c r="G80" s="62">
        <v>0</v>
      </c>
      <c r="H80" s="62">
        <v>0</v>
      </c>
      <c r="I80" s="62">
        <v>0</v>
      </c>
      <c r="J80" s="62">
        <v>0</v>
      </c>
      <c r="K80" s="62">
        <v>0</v>
      </c>
      <c r="L80" s="44">
        <v>1</v>
      </c>
    </row>
    <row r="81" spans="2:12" ht="15" thickBot="1">
      <c r="B81" s="84" t="s">
        <v>197</v>
      </c>
      <c r="C81" s="1200">
        <v>7</v>
      </c>
      <c r="D81" s="95">
        <v>3</v>
      </c>
      <c r="E81" s="44">
        <v>8</v>
      </c>
      <c r="F81" s="44">
        <v>5.3</v>
      </c>
      <c r="G81" s="44" t="s">
        <v>59</v>
      </c>
      <c r="H81" s="44" t="s">
        <v>59</v>
      </c>
      <c r="I81" s="44">
        <v>6.7</v>
      </c>
      <c r="J81" s="44">
        <v>3.1</v>
      </c>
      <c r="K81" s="44">
        <v>2.2000000000000002</v>
      </c>
      <c r="L81" s="44">
        <v>1.5</v>
      </c>
    </row>
    <row r="82" spans="2:12" ht="15" thickBot="1">
      <c r="B82" s="84" t="s">
        <v>220</v>
      </c>
      <c r="C82" s="1200">
        <v>1</v>
      </c>
      <c r="D82" s="95">
        <v>61</v>
      </c>
      <c r="E82" s="44">
        <v>21</v>
      </c>
      <c r="F82" s="44">
        <v>4.5</v>
      </c>
      <c r="G82" s="44">
        <v>1.2</v>
      </c>
      <c r="H82" s="44">
        <v>1.7</v>
      </c>
      <c r="I82" s="44">
        <v>2.9</v>
      </c>
      <c r="J82" s="44">
        <v>33.9</v>
      </c>
      <c r="K82" s="44">
        <v>21.9</v>
      </c>
      <c r="L82" s="62">
        <v>0</v>
      </c>
    </row>
    <row r="83" spans="2:12" ht="15" thickBot="1">
      <c r="B83" s="84" t="s">
        <v>801</v>
      </c>
      <c r="C83" s="1200">
        <v>3</v>
      </c>
      <c r="D83" s="95">
        <v>40</v>
      </c>
      <c r="E83" s="44">
        <v>8</v>
      </c>
      <c r="F83" s="44">
        <v>3.3</v>
      </c>
      <c r="G83" s="44" t="s">
        <v>59</v>
      </c>
      <c r="H83" s="44">
        <v>10</v>
      </c>
      <c r="I83" s="44">
        <v>1.4</v>
      </c>
      <c r="J83" s="44">
        <v>4.0999999999999996</v>
      </c>
      <c r="K83" s="44">
        <v>6.8</v>
      </c>
      <c r="L83" s="44">
        <v>22.8</v>
      </c>
    </row>
    <row r="84" spans="2:12" ht="15" thickBot="1">
      <c r="B84" s="84" t="s">
        <v>222</v>
      </c>
      <c r="C84" s="1200" t="s">
        <v>59</v>
      </c>
      <c r="D84" s="95">
        <v>1</v>
      </c>
      <c r="E84" s="44">
        <v>9</v>
      </c>
      <c r="F84" s="44">
        <v>2.9</v>
      </c>
      <c r="G84" s="44">
        <v>2.2000000000000002</v>
      </c>
      <c r="H84" s="44" t="s">
        <v>59</v>
      </c>
      <c r="I84" s="44">
        <v>12.6</v>
      </c>
      <c r="J84" s="44">
        <v>6.8</v>
      </c>
      <c r="K84" s="44">
        <v>13.5</v>
      </c>
      <c r="L84" s="44">
        <v>7.6</v>
      </c>
    </row>
    <row r="85" spans="2:12" ht="15" thickBot="1">
      <c r="B85" s="84" t="s">
        <v>115</v>
      </c>
      <c r="C85" s="89">
        <v>6</v>
      </c>
      <c r="D85" s="59" t="s">
        <v>59</v>
      </c>
      <c r="E85" s="44">
        <v>10</v>
      </c>
      <c r="F85" s="44">
        <v>1.8</v>
      </c>
      <c r="G85" s="44">
        <v>2.1</v>
      </c>
      <c r="H85" s="44" t="s">
        <v>59</v>
      </c>
      <c r="I85" s="44" t="s">
        <v>59</v>
      </c>
      <c r="J85" s="44" t="s">
        <v>59</v>
      </c>
      <c r="K85" s="44" t="s">
        <v>59</v>
      </c>
      <c r="L85" s="44" t="s">
        <v>59</v>
      </c>
    </row>
    <row r="86" spans="2:12" ht="15" thickBot="1">
      <c r="B86" s="84" t="s">
        <v>117</v>
      </c>
      <c r="C86" s="1200">
        <v>76</v>
      </c>
      <c r="D86" s="95">
        <v>7</v>
      </c>
      <c r="E86" s="44" t="s">
        <v>1835</v>
      </c>
      <c r="F86" s="44">
        <v>0.6</v>
      </c>
      <c r="G86" s="44" t="s">
        <v>59</v>
      </c>
      <c r="H86" s="44" t="s">
        <v>59</v>
      </c>
      <c r="I86" s="44" t="s">
        <v>59</v>
      </c>
      <c r="J86" s="44">
        <v>1</v>
      </c>
      <c r="K86" s="44" t="s">
        <v>59</v>
      </c>
      <c r="L86" s="44" t="s">
        <v>59</v>
      </c>
    </row>
    <row r="87" spans="2:12">
      <c r="B87" s="97" t="s">
        <v>129</v>
      </c>
      <c r="C87" s="1260">
        <f>C74-C75-C76-C77-C78-C81-C82-C83-C86</f>
        <v>167</v>
      </c>
      <c r="D87" s="1408">
        <f>D74-D75-D76-D77-D78-D81-D82-D83-D84-D86</f>
        <v>539</v>
      </c>
      <c r="E87" s="109">
        <f>E74-E75-E76-E77-E78-E81-E82-E83-E84-E85</f>
        <v>73</v>
      </c>
      <c r="F87" s="109">
        <f t="shared" ref="F87:L87" si="1">F74-(SUM(F75:F86))</f>
        <v>67.999999999999943</v>
      </c>
      <c r="G87" s="109">
        <f t="shared" si="1"/>
        <v>16.499999999999886</v>
      </c>
      <c r="H87" s="109">
        <f t="shared" si="1"/>
        <v>25.799999999999955</v>
      </c>
      <c r="I87" s="109">
        <f t="shared" si="1"/>
        <v>128.90000000000003</v>
      </c>
      <c r="J87" s="109">
        <f t="shared" si="1"/>
        <v>279.90000000000009</v>
      </c>
      <c r="K87" s="109">
        <f t="shared" si="1"/>
        <v>366</v>
      </c>
      <c r="L87" s="109">
        <f t="shared" si="1"/>
        <v>117.50000000000023</v>
      </c>
    </row>
    <row r="88" spans="2:12">
      <c r="B88" s="127" t="s">
        <v>52</v>
      </c>
      <c r="C88" s="73">
        <f>C74+C63</f>
        <v>5176</v>
      </c>
      <c r="D88" s="73">
        <f>D74+D63</f>
        <v>5372</v>
      </c>
      <c r="E88" s="73">
        <f>E74+E63</f>
        <v>3396</v>
      </c>
      <c r="F88" s="73">
        <v>4416</v>
      </c>
      <c r="G88" s="73">
        <v>3799</v>
      </c>
      <c r="H88" s="73">
        <v>5241</v>
      </c>
      <c r="I88" s="73">
        <v>5056</v>
      </c>
      <c r="J88" s="73">
        <v>6859</v>
      </c>
      <c r="K88" s="73">
        <v>5595</v>
      </c>
      <c r="L88" s="73">
        <v>5919</v>
      </c>
    </row>
    <row r="89" spans="2:12">
      <c r="B89" s="41" t="s">
        <v>2037</v>
      </c>
    </row>
    <row r="90" spans="2:12">
      <c r="C90" s="23"/>
      <c r="D90" s="23"/>
      <c r="E90" s="23"/>
      <c r="F90" s="23"/>
      <c r="G90" s="23"/>
      <c r="H90" s="23"/>
      <c r="I90" s="23"/>
    </row>
    <row r="91" spans="2:12">
      <c r="C91" s="23"/>
      <c r="D91" s="23"/>
      <c r="E91" s="23"/>
      <c r="F91" s="23"/>
      <c r="G91" s="23"/>
      <c r="H91" s="23"/>
    </row>
    <row r="92" spans="2:12" ht="15.6">
      <c r="B92" s="86" t="s">
        <v>813</v>
      </c>
      <c r="C92" s="86"/>
      <c r="D92" s="86"/>
    </row>
    <row r="93" spans="2:12" ht="15.6">
      <c r="B93" s="86"/>
      <c r="C93" s="86"/>
      <c r="D93" s="86"/>
    </row>
    <row r="94" spans="2:12">
      <c r="B94" s="290" t="s">
        <v>814</v>
      </c>
      <c r="C94" s="290"/>
      <c r="D94" s="290"/>
    </row>
    <row r="95" spans="2:12">
      <c r="B95" s="290" t="s">
        <v>815</v>
      </c>
      <c r="C95" s="290"/>
      <c r="D95" s="290"/>
    </row>
    <row r="97" spans="2:4">
      <c r="B97" s="1" t="s">
        <v>816</v>
      </c>
      <c r="C97" s="464"/>
    </row>
    <row r="98" spans="2:4">
      <c r="B98" s="13" t="s">
        <v>134</v>
      </c>
      <c r="C98" s="1561" t="s">
        <v>817</v>
      </c>
      <c r="D98" s="1561"/>
    </row>
    <row r="99" spans="2:4">
      <c r="B99" s="13"/>
      <c r="C99" s="317" t="s">
        <v>722</v>
      </c>
      <c r="D99" s="317" t="s">
        <v>818</v>
      </c>
    </row>
    <row r="100" spans="2:4">
      <c r="B100" s="245" t="s">
        <v>52</v>
      </c>
      <c r="C100" s="330">
        <v>9328</v>
      </c>
      <c r="D100" s="317">
        <v>100</v>
      </c>
    </row>
    <row r="101" spans="2:4">
      <c r="B101" s="384" t="s">
        <v>819</v>
      </c>
      <c r="C101" s="246">
        <v>6956</v>
      </c>
      <c r="D101" s="294">
        <f>C101/$C$100*100</f>
        <v>74.57118353344768</v>
      </c>
    </row>
    <row r="102" spans="2:4">
      <c r="B102" s="384" t="s">
        <v>820</v>
      </c>
      <c r="C102" s="246">
        <v>1325</v>
      </c>
      <c r="D102" s="294">
        <f t="shared" ref="D102:D106" si="2">C102/$C$100*100</f>
        <v>14.204545454545455</v>
      </c>
    </row>
    <row r="103" spans="2:4">
      <c r="B103" s="384" t="s">
        <v>821</v>
      </c>
      <c r="C103" s="246">
        <v>831</v>
      </c>
      <c r="D103" s="294">
        <f t="shared" si="2"/>
        <v>8.9086620926243576</v>
      </c>
    </row>
    <row r="104" spans="2:4">
      <c r="B104" s="384" t="s">
        <v>822</v>
      </c>
      <c r="C104" s="246">
        <v>94</v>
      </c>
      <c r="D104" s="294">
        <f t="shared" si="2"/>
        <v>1.0077186963979416</v>
      </c>
    </row>
    <row r="105" spans="2:4">
      <c r="B105" s="384" t="s">
        <v>823</v>
      </c>
      <c r="C105" s="246">
        <v>65</v>
      </c>
      <c r="D105" s="294">
        <f t="shared" si="2"/>
        <v>0.69682675814751283</v>
      </c>
    </row>
    <row r="106" spans="2:4">
      <c r="B106" s="384" t="s">
        <v>824</v>
      </c>
      <c r="C106" s="466">
        <v>57</v>
      </c>
      <c r="D106" s="294">
        <f t="shared" si="2"/>
        <v>0.61106346483704976</v>
      </c>
    </row>
    <row r="107" spans="2:4">
      <c r="C107" s="134"/>
    </row>
    <row r="109" spans="2:4">
      <c r="B109" s="1" t="s">
        <v>825</v>
      </c>
    </row>
    <row r="110" spans="2:4">
      <c r="B110" s="290" t="s">
        <v>826</v>
      </c>
    </row>
    <row r="111" spans="2:4">
      <c r="B111" s="290"/>
    </row>
    <row r="112" spans="2:4">
      <c r="B112" s="13" t="s">
        <v>827</v>
      </c>
      <c r="C112" s="1561" t="s">
        <v>817</v>
      </c>
      <c r="D112" s="1561"/>
    </row>
    <row r="113" spans="2:14">
      <c r="B113" s="245"/>
      <c r="C113" s="317" t="s">
        <v>722</v>
      </c>
      <c r="D113" s="317" t="s">
        <v>574</v>
      </c>
    </row>
    <row r="114" spans="2:14">
      <c r="B114" s="13" t="s">
        <v>52</v>
      </c>
      <c r="C114" s="330">
        <v>5473</v>
      </c>
      <c r="D114" s="330">
        <v>100</v>
      </c>
    </row>
    <row r="115" spans="2:14">
      <c r="B115" s="384" t="s">
        <v>819</v>
      </c>
      <c r="C115" s="246">
        <v>3324</v>
      </c>
      <c r="D115" s="294">
        <f>C115/$C$114*100</f>
        <v>60.734514891284483</v>
      </c>
    </row>
    <row r="116" spans="2:14">
      <c r="B116" s="384" t="s">
        <v>820</v>
      </c>
      <c r="C116" s="246">
        <v>1256</v>
      </c>
      <c r="D116" s="294">
        <f t="shared" ref="D116:D119" si="3">C116/$C$114*100</f>
        <v>22.94902247396309</v>
      </c>
    </row>
    <row r="117" spans="2:14">
      <c r="B117" s="384" t="s">
        <v>821</v>
      </c>
      <c r="C117" s="246">
        <v>831</v>
      </c>
      <c r="D117" s="294">
        <f t="shared" si="3"/>
        <v>15.183628722821121</v>
      </c>
    </row>
    <row r="118" spans="2:14">
      <c r="B118" s="384" t="s">
        <v>822</v>
      </c>
      <c r="C118" s="246">
        <v>40</v>
      </c>
      <c r="D118" s="294">
        <f t="shared" si="3"/>
        <v>0.73086058834277368</v>
      </c>
    </row>
    <row r="119" spans="2:14">
      <c r="B119" s="384" t="s">
        <v>828</v>
      </c>
      <c r="C119" s="246">
        <v>22</v>
      </c>
      <c r="D119" s="294">
        <f t="shared" si="3"/>
        <v>0.4019733235885255</v>
      </c>
    </row>
    <row r="120" spans="2:14">
      <c r="C120" s="23"/>
    </row>
    <row r="121" spans="2:14">
      <c r="B121" s="41" t="s">
        <v>829</v>
      </c>
    </row>
    <row r="124" spans="2:14" ht="15.6">
      <c r="B124" s="83" t="s">
        <v>830</v>
      </c>
      <c r="C124" s="83"/>
      <c r="D124" s="83"/>
      <c r="E124" s="83"/>
      <c r="H124" s="83"/>
      <c r="I124" s="83"/>
      <c r="J124" s="83"/>
    </row>
    <row r="125" spans="2:14" ht="15.6">
      <c r="B125" s="83"/>
      <c r="C125" s="83"/>
      <c r="D125" s="83"/>
      <c r="E125" s="83"/>
      <c r="H125" s="83"/>
      <c r="I125" s="83"/>
      <c r="J125" s="83"/>
    </row>
    <row r="126" spans="2:14" ht="15.6">
      <c r="B126" s="83" t="s">
        <v>831</v>
      </c>
      <c r="C126" s="83"/>
      <c r="D126" s="83"/>
      <c r="E126" s="83"/>
      <c r="F126" s="83"/>
      <c r="G126" s="83"/>
      <c r="H126" s="83"/>
      <c r="I126" s="83"/>
      <c r="J126" s="83"/>
    </row>
    <row r="127" spans="2:14" ht="15.6">
      <c r="B127" s="93" t="s">
        <v>589</v>
      </c>
      <c r="C127" s="83"/>
      <c r="D127" s="83"/>
      <c r="E127" s="83"/>
      <c r="F127" s="83"/>
      <c r="G127" s="83"/>
      <c r="H127" s="83"/>
      <c r="I127" s="83"/>
      <c r="J127" s="83"/>
      <c r="K127" s="467"/>
    </row>
    <row r="128" spans="2:14">
      <c r="B128" s="153" t="s">
        <v>590</v>
      </c>
      <c r="C128" s="229">
        <v>2024</v>
      </c>
      <c r="D128" s="229">
        <v>2023</v>
      </c>
      <c r="E128" s="229">
        <v>2022</v>
      </c>
      <c r="F128" s="229">
        <v>2021</v>
      </c>
      <c r="G128" s="229">
        <v>2020</v>
      </c>
      <c r="H128" s="229">
        <v>2019</v>
      </c>
      <c r="I128" s="229">
        <v>2018</v>
      </c>
      <c r="J128" s="229">
        <v>2017</v>
      </c>
      <c r="K128" s="229">
        <v>2016</v>
      </c>
      <c r="L128" s="229">
        <v>2015</v>
      </c>
      <c r="M128" s="229">
        <v>2014</v>
      </c>
      <c r="N128" s="868"/>
    </row>
    <row r="129" spans="2:14">
      <c r="B129" s="468" t="s">
        <v>1620</v>
      </c>
      <c r="C129" s="1154">
        <v>311956</v>
      </c>
      <c r="D129" s="1193">
        <v>316937</v>
      </c>
      <c r="E129" s="469">
        <v>381323</v>
      </c>
      <c r="F129" s="469">
        <v>338067</v>
      </c>
      <c r="G129" s="469">
        <v>275836</v>
      </c>
      <c r="H129" s="469">
        <v>355895</v>
      </c>
      <c r="I129" s="470">
        <v>293778</v>
      </c>
      <c r="J129" s="470">
        <v>316347</v>
      </c>
      <c r="K129" s="470">
        <v>346331</v>
      </c>
      <c r="L129" s="470">
        <v>325113</v>
      </c>
      <c r="M129" s="470">
        <v>265471</v>
      </c>
      <c r="N129" s="309"/>
    </row>
    <row r="130" spans="2:14">
      <c r="B130" s="471" t="s">
        <v>736</v>
      </c>
      <c r="C130" s="1155">
        <v>4329</v>
      </c>
      <c r="D130" s="1374">
        <v>701</v>
      </c>
      <c r="E130" s="469">
        <v>33080</v>
      </c>
      <c r="F130" s="469">
        <v>84089</v>
      </c>
      <c r="G130" s="469">
        <v>99837</v>
      </c>
      <c r="H130" s="469">
        <v>114535</v>
      </c>
      <c r="I130" s="470">
        <v>132650</v>
      </c>
      <c r="J130" s="470">
        <v>134666</v>
      </c>
      <c r="K130" s="470">
        <v>103229</v>
      </c>
      <c r="L130" s="470">
        <v>110536</v>
      </c>
      <c r="M130" s="470">
        <v>157658</v>
      </c>
      <c r="N130" s="309"/>
    </row>
    <row r="131" spans="2:14">
      <c r="B131" s="471" t="s">
        <v>13</v>
      </c>
      <c r="C131" s="1156">
        <v>98170</v>
      </c>
      <c r="D131" s="1194">
        <v>96459</v>
      </c>
      <c r="E131" s="469">
        <v>99177</v>
      </c>
      <c r="F131" s="469">
        <v>72787</v>
      </c>
      <c r="G131" s="469">
        <v>72271</v>
      </c>
      <c r="H131" s="469">
        <v>67571</v>
      </c>
      <c r="I131" s="470">
        <v>68772</v>
      </c>
      <c r="J131" s="470">
        <v>60658</v>
      </c>
      <c r="K131" s="470">
        <v>58014</v>
      </c>
      <c r="L131" s="470">
        <v>63827</v>
      </c>
      <c r="M131" s="470">
        <v>63196</v>
      </c>
      <c r="N131" s="309"/>
    </row>
    <row r="132" spans="2:14">
      <c r="B132" s="471" t="s">
        <v>834</v>
      </c>
      <c r="C132" s="1155">
        <v>22</v>
      </c>
      <c r="D132" s="1374">
        <v>207</v>
      </c>
      <c r="E132" s="469">
        <v>10513</v>
      </c>
      <c r="F132" s="469">
        <v>31903</v>
      </c>
      <c r="G132" s="469">
        <v>6302</v>
      </c>
      <c r="H132" s="469">
        <v>3462</v>
      </c>
      <c r="I132" s="470">
        <v>1938</v>
      </c>
      <c r="J132" s="470">
        <v>1598</v>
      </c>
      <c r="K132" s="470">
        <v>2226</v>
      </c>
      <c r="L132" s="470">
        <v>3363</v>
      </c>
      <c r="M132" s="470">
        <v>1973</v>
      </c>
      <c r="N132" s="309"/>
    </row>
    <row r="133" spans="2:14">
      <c r="B133" s="471" t="s">
        <v>12</v>
      </c>
      <c r="C133" s="1156">
        <v>39701</v>
      </c>
      <c r="D133" s="1194">
        <v>35774</v>
      </c>
      <c r="E133" s="469">
        <v>39406</v>
      </c>
      <c r="F133" s="469">
        <v>27894</v>
      </c>
      <c r="G133" s="469">
        <v>23289</v>
      </c>
      <c r="H133" s="469">
        <v>28774</v>
      </c>
      <c r="I133" s="470">
        <v>29802</v>
      </c>
      <c r="J133" s="470">
        <v>28262</v>
      </c>
      <c r="K133" s="470">
        <v>27622</v>
      </c>
      <c r="L133" s="470">
        <v>25988</v>
      </c>
      <c r="M133" s="470">
        <v>24587</v>
      </c>
      <c r="N133" s="309"/>
    </row>
    <row r="134" spans="2:14">
      <c r="B134" s="471" t="s">
        <v>32</v>
      </c>
      <c r="C134" s="1156">
        <v>35006</v>
      </c>
      <c r="D134" s="1194">
        <v>33086</v>
      </c>
      <c r="E134" s="469">
        <v>36413</v>
      </c>
      <c r="F134" s="469">
        <v>22583</v>
      </c>
      <c r="G134" s="469">
        <v>29877</v>
      </c>
      <c r="H134" s="469">
        <v>19306</v>
      </c>
      <c r="I134" s="470">
        <v>17535</v>
      </c>
      <c r="J134" s="470">
        <v>18772</v>
      </c>
      <c r="K134" s="470">
        <v>18006</v>
      </c>
      <c r="L134" s="470">
        <v>23356</v>
      </c>
      <c r="M134" s="470">
        <v>20418</v>
      </c>
      <c r="N134" s="309"/>
    </row>
    <row r="135" spans="2:14">
      <c r="B135" s="471" t="s">
        <v>17</v>
      </c>
      <c r="C135" s="1156">
        <v>33928</v>
      </c>
      <c r="D135" s="1194">
        <v>33246</v>
      </c>
      <c r="E135" s="469">
        <v>32454</v>
      </c>
      <c r="F135" s="469">
        <v>22366</v>
      </c>
      <c r="G135" s="469">
        <v>20029</v>
      </c>
      <c r="H135" s="469">
        <v>23762</v>
      </c>
      <c r="I135" s="470">
        <v>23936</v>
      </c>
      <c r="J135" s="470">
        <v>21378</v>
      </c>
      <c r="K135" s="470">
        <v>17882</v>
      </c>
      <c r="L135" s="470">
        <v>19242</v>
      </c>
      <c r="M135" s="470">
        <v>14756</v>
      </c>
      <c r="N135" s="309"/>
    </row>
    <row r="136" spans="2:14">
      <c r="B136" s="471" t="s">
        <v>745</v>
      </c>
      <c r="C136" s="1156">
        <v>127721</v>
      </c>
      <c r="D136" s="1194">
        <v>119583</v>
      </c>
      <c r="E136" s="469">
        <v>98660</v>
      </c>
      <c r="F136" s="469">
        <v>17678</v>
      </c>
      <c r="G136" s="469">
        <v>14369</v>
      </c>
      <c r="H136" s="469">
        <v>17854</v>
      </c>
      <c r="I136" s="470">
        <v>14577</v>
      </c>
      <c r="J136" s="470">
        <v>13069</v>
      </c>
      <c r="K136" s="470">
        <v>10714</v>
      </c>
      <c r="L136" s="470">
        <v>9472</v>
      </c>
      <c r="M136" s="470">
        <v>6935</v>
      </c>
      <c r="N136" s="309"/>
    </row>
    <row r="137" spans="2:14">
      <c r="B137" s="471" t="s">
        <v>739</v>
      </c>
      <c r="C137" s="1156">
        <v>10195</v>
      </c>
      <c r="D137" s="1194">
        <v>10218</v>
      </c>
      <c r="E137" s="469">
        <v>12639</v>
      </c>
      <c r="F137" s="469">
        <v>16544</v>
      </c>
      <c r="G137" s="469">
        <v>22905</v>
      </c>
      <c r="H137" s="469">
        <v>19032</v>
      </c>
      <c r="I137" s="470">
        <v>9739</v>
      </c>
      <c r="J137" s="470">
        <v>9049</v>
      </c>
      <c r="K137" s="470">
        <v>10990</v>
      </c>
      <c r="L137" s="470">
        <v>12132</v>
      </c>
      <c r="M137" s="470">
        <v>13909</v>
      </c>
      <c r="N137" s="309"/>
    </row>
    <row r="138" spans="2:14">
      <c r="B138" s="471" t="s">
        <v>35</v>
      </c>
      <c r="C138" s="1156">
        <v>13816</v>
      </c>
      <c r="D138" s="1194">
        <v>12686</v>
      </c>
      <c r="E138" s="469">
        <v>12177</v>
      </c>
      <c r="F138" s="469">
        <v>9633</v>
      </c>
      <c r="G138" s="469">
        <v>3577</v>
      </c>
      <c r="H138" s="469">
        <v>3846</v>
      </c>
      <c r="I138" s="470">
        <v>2944</v>
      </c>
      <c r="J138" s="470">
        <v>4601</v>
      </c>
      <c r="K138" s="470">
        <v>3129</v>
      </c>
      <c r="L138" s="470">
        <v>2969</v>
      </c>
      <c r="M138" s="470">
        <v>2170</v>
      </c>
      <c r="N138" s="309"/>
    </row>
    <row r="139" spans="2:14">
      <c r="B139" s="471" t="s">
        <v>737</v>
      </c>
      <c r="C139" s="1156">
        <v>25473</v>
      </c>
      <c r="D139" s="1194">
        <v>17741</v>
      </c>
      <c r="E139" s="469">
        <v>23760</v>
      </c>
      <c r="F139" s="469">
        <v>9308</v>
      </c>
      <c r="G139" s="469">
        <v>6901</v>
      </c>
      <c r="H139" s="469">
        <v>10947</v>
      </c>
      <c r="I139" s="470">
        <v>13143</v>
      </c>
      <c r="J139" s="470">
        <v>12403</v>
      </c>
      <c r="K139" s="470">
        <v>12225</v>
      </c>
      <c r="L139" s="470">
        <v>13227</v>
      </c>
      <c r="M139" s="470">
        <v>44318</v>
      </c>
      <c r="N139" s="309"/>
    </row>
    <row r="140" spans="2:14">
      <c r="B140" s="471" t="s">
        <v>30</v>
      </c>
      <c r="C140" s="1156">
        <v>8012</v>
      </c>
      <c r="D140" s="1194">
        <v>9543</v>
      </c>
      <c r="E140" s="469">
        <v>10316</v>
      </c>
      <c r="F140" s="469">
        <v>8599</v>
      </c>
      <c r="G140" s="469">
        <v>9403</v>
      </c>
      <c r="H140" s="469">
        <v>10321</v>
      </c>
      <c r="I140" s="470">
        <v>11535</v>
      </c>
      <c r="J140" s="470">
        <v>11803</v>
      </c>
      <c r="K140" s="470">
        <v>10987</v>
      </c>
      <c r="L140" s="470">
        <v>12083</v>
      </c>
      <c r="M140" s="470">
        <v>8869</v>
      </c>
      <c r="N140" s="309"/>
    </row>
    <row r="141" spans="2:14">
      <c r="B141" s="471" t="s">
        <v>10</v>
      </c>
      <c r="C141" s="1156">
        <v>7571</v>
      </c>
      <c r="D141" s="1194">
        <v>9962</v>
      </c>
      <c r="E141" s="469">
        <v>11353</v>
      </c>
      <c r="F141" s="469">
        <v>8178</v>
      </c>
      <c r="G141" s="469">
        <v>8895</v>
      </c>
      <c r="H141" s="469">
        <v>7975</v>
      </c>
      <c r="I141" s="470">
        <v>8192</v>
      </c>
      <c r="J141" s="470">
        <v>8428</v>
      </c>
      <c r="K141" s="470">
        <v>9630</v>
      </c>
      <c r="L141" s="470">
        <v>12787</v>
      </c>
      <c r="M141" s="470">
        <v>11148</v>
      </c>
      <c r="N141" s="309"/>
    </row>
    <row r="142" spans="2:14">
      <c r="B142" s="471" t="s">
        <v>26</v>
      </c>
      <c r="C142" s="1156">
        <v>9815</v>
      </c>
      <c r="D142" s="1194">
        <v>8913</v>
      </c>
      <c r="E142" s="469">
        <v>10406</v>
      </c>
      <c r="F142" s="469">
        <v>7926</v>
      </c>
      <c r="G142" s="469">
        <v>6044</v>
      </c>
      <c r="H142" s="469">
        <v>6255</v>
      </c>
      <c r="I142" s="470">
        <v>6449</v>
      </c>
      <c r="J142" s="470">
        <v>6269</v>
      </c>
      <c r="K142" s="470">
        <v>4137</v>
      </c>
      <c r="L142" s="470">
        <v>3293</v>
      </c>
      <c r="M142" s="470">
        <v>2140</v>
      </c>
      <c r="N142" s="309"/>
    </row>
    <row r="143" spans="2:14">
      <c r="B143" s="471" t="s">
        <v>9</v>
      </c>
      <c r="C143" s="1156">
        <v>7385</v>
      </c>
      <c r="D143" s="1194">
        <v>9981</v>
      </c>
      <c r="E143" s="469">
        <v>9810</v>
      </c>
      <c r="F143" s="469">
        <v>7819</v>
      </c>
      <c r="G143" s="469">
        <v>7348</v>
      </c>
      <c r="H143" s="469">
        <v>7740</v>
      </c>
      <c r="I143" s="470">
        <v>7448</v>
      </c>
      <c r="J143" s="470">
        <v>6626</v>
      </c>
      <c r="K143" s="470">
        <v>6282</v>
      </c>
      <c r="L143" s="470">
        <v>8332</v>
      </c>
      <c r="M143" s="470">
        <v>5790</v>
      </c>
      <c r="N143" s="309"/>
    </row>
    <row r="144" spans="2:14">
      <c r="B144" s="471" t="s">
        <v>833</v>
      </c>
      <c r="C144" s="1156">
        <v>6199</v>
      </c>
      <c r="D144" s="1194">
        <v>6060</v>
      </c>
      <c r="E144" s="469">
        <v>6723</v>
      </c>
      <c r="F144" s="469">
        <v>7236</v>
      </c>
      <c r="G144" s="469">
        <v>10862</v>
      </c>
      <c r="H144" s="469">
        <v>4898</v>
      </c>
      <c r="I144" s="470">
        <v>3964</v>
      </c>
      <c r="J144" s="470">
        <v>3294</v>
      </c>
      <c r="K144" s="470">
        <v>4147</v>
      </c>
      <c r="L144" s="470">
        <v>4603</v>
      </c>
      <c r="M144" s="470">
        <v>1471</v>
      </c>
      <c r="N144" s="309"/>
    </row>
    <row r="145" spans="2:14">
      <c r="B145" s="471" t="s">
        <v>832</v>
      </c>
      <c r="C145" s="1156">
        <v>15835</v>
      </c>
      <c r="D145" s="1194">
        <v>14629</v>
      </c>
      <c r="E145" s="469">
        <v>11355</v>
      </c>
      <c r="F145" s="469">
        <v>7183</v>
      </c>
      <c r="G145" s="469">
        <v>11753</v>
      </c>
      <c r="H145" s="469">
        <v>5452</v>
      </c>
      <c r="I145" s="470">
        <v>2843</v>
      </c>
      <c r="J145" s="470">
        <v>2189</v>
      </c>
      <c r="K145" s="470">
        <v>4763</v>
      </c>
      <c r="L145" s="470">
        <v>5284</v>
      </c>
      <c r="M145" s="470">
        <v>1915</v>
      </c>
      <c r="N145" s="309"/>
    </row>
    <row r="146" spans="2:14">
      <c r="B146" s="471" t="s">
        <v>19</v>
      </c>
      <c r="C146" s="1156">
        <v>6677</v>
      </c>
      <c r="D146" s="1194">
        <v>7623</v>
      </c>
      <c r="E146" s="469">
        <v>7466</v>
      </c>
      <c r="F146" s="469">
        <v>6907</v>
      </c>
      <c r="G146" s="469">
        <v>7198</v>
      </c>
      <c r="H146" s="469">
        <v>8040</v>
      </c>
      <c r="I146" s="470">
        <v>7744</v>
      </c>
      <c r="J146" s="470">
        <v>8151</v>
      </c>
      <c r="K146" s="470">
        <v>8233</v>
      </c>
      <c r="L146" s="470">
        <v>7667</v>
      </c>
      <c r="M146" s="470">
        <v>7245</v>
      </c>
      <c r="N146" s="309"/>
    </row>
    <row r="147" spans="2:14">
      <c r="B147" s="471" t="s">
        <v>738</v>
      </c>
      <c r="C147" s="1156">
        <v>9553</v>
      </c>
      <c r="D147" s="1194">
        <v>8193</v>
      </c>
      <c r="E147" s="469">
        <v>8020</v>
      </c>
      <c r="F147" s="469">
        <v>6062</v>
      </c>
      <c r="G147" s="469">
        <v>5838</v>
      </c>
      <c r="H147" s="469">
        <v>5648</v>
      </c>
      <c r="I147" s="470">
        <v>4162</v>
      </c>
      <c r="J147" s="470">
        <v>3404</v>
      </c>
      <c r="K147" s="470">
        <v>3519</v>
      </c>
      <c r="L147" s="470">
        <v>4042</v>
      </c>
      <c r="M147" s="470">
        <v>1856</v>
      </c>
      <c r="N147" s="309"/>
    </row>
    <row r="148" spans="2:14">
      <c r="B148" s="471" t="s">
        <v>20</v>
      </c>
      <c r="C148" s="1156">
        <v>8437</v>
      </c>
      <c r="D148" s="1194">
        <v>7122</v>
      </c>
      <c r="E148" s="469">
        <v>8009</v>
      </c>
      <c r="F148" s="469">
        <v>5214</v>
      </c>
      <c r="G148" s="469">
        <v>3619</v>
      </c>
      <c r="H148" s="469">
        <v>4284</v>
      </c>
      <c r="I148" s="470">
        <v>3462</v>
      </c>
      <c r="J148" s="470">
        <v>3181</v>
      </c>
      <c r="K148" s="470">
        <v>3437</v>
      </c>
      <c r="L148" s="470">
        <v>4914</v>
      </c>
      <c r="M148" s="470">
        <v>2960</v>
      </c>
      <c r="N148" s="309"/>
    </row>
    <row r="149" spans="2:14">
      <c r="B149" s="471" t="s">
        <v>15</v>
      </c>
      <c r="C149" s="1156">
        <v>16338</v>
      </c>
      <c r="D149" s="1194">
        <v>9874</v>
      </c>
      <c r="E149" s="469">
        <v>6369</v>
      </c>
      <c r="F149" s="469">
        <v>4539</v>
      </c>
      <c r="G149" s="469">
        <v>3514</v>
      </c>
      <c r="H149" s="469">
        <v>2920</v>
      </c>
      <c r="I149" s="470">
        <v>2280</v>
      </c>
      <c r="J149" s="470">
        <v>1755</v>
      </c>
      <c r="K149" s="470">
        <v>1186</v>
      </c>
      <c r="L149" s="470">
        <v>1318</v>
      </c>
      <c r="M149" s="470">
        <v>467</v>
      </c>
      <c r="N149" s="309"/>
    </row>
    <row r="150" spans="2:14">
      <c r="B150" s="471" t="s">
        <v>16</v>
      </c>
      <c r="C150" s="1156">
        <v>7245</v>
      </c>
      <c r="D150" s="1194">
        <v>7512</v>
      </c>
      <c r="E150" s="469">
        <v>7201</v>
      </c>
      <c r="F150" s="469">
        <v>4063</v>
      </c>
      <c r="G150" s="469">
        <v>2788</v>
      </c>
      <c r="H150" s="469">
        <v>4616</v>
      </c>
      <c r="I150" s="470">
        <v>3589</v>
      </c>
      <c r="J150" s="470">
        <v>3353</v>
      </c>
      <c r="K150" s="470">
        <v>3628</v>
      </c>
      <c r="L150" s="470">
        <v>3417</v>
      </c>
      <c r="M150" s="470">
        <v>2472</v>
      </c>
      <c r="N150" s="309"/>
    </row>
    <row r="151" spans="2:14">
      <c r="B151" s="471" t="s">
        <v>1567</v>
      </c>
      <c r="C151" s="1156">
        <v>8458</v>
      </c>
      <c r="D151" s="1194">
        <v>7239</v>
      </c>
      <c r="E151" s="469">
        <v>6071</v>
      </c>
      <c r="F151" s="469">
        <v>3941</v>
      </c>
      <c r="G151" s="469">
        <v>2355</v>
      </c>
      <c r="H151" s="469">
        <v>2984</v>
      </c>
      <c r="I151" s="470">
        <v>1594</v>
      </c>
      <c r="J151" s="470">
        <v>1451</v>
      </c>
      <c r="K151" s="470">
        <v>3166</v>
      </c>
      <c r="L151" s="470">
        <v>2599</v>
      </c>
      <c r="M151" s="470">
        <v>946</v>
      </c>
      <c r="N151" s="309"/>
    </row>
    <row r="152" spans="2:14">
      <c r="B152" s="471" t="s">
        <v>27</v>
      </c>
      <c r="C152" s="1156">
        <v>2562</v>
      </c>
      <c r="D152" s="1194">
        <v>3375</v>
      </c>
      <c r="E152" s="469">
        <v>3014</v>
      </c>
      <c r="F152" s="469">
        <v>3856</v>
      </c>
      <c r="G152" s="469">
        <v>6618</v>
      </c>
      <c r="H152" s="469">
        <v>11054</v>
      </c>
      <c r="I152" s="470">
        <v>12681</v>
      </c>
      <c r="J152" s="470">
        <v>11290</v>
      </c>
      <c r="K152" s="470">
        <v>6537</v>
      </c>
      <c r="L152" s="470">
        <v>3536</v>
      </c>
      <c r="M152" s="470">
        <v>1306</v>
      </c>
      <c r="N152" s="309"/>
    </row>
    <row r="153" spans="2:14">
      <c r="B153" s="471" t="s">
        <v>1698</v>
      </c>
      <c r="C153" s="1156">
        <v>2425</v>
      </c>
      <c r="D153" s="1194">
        <v>2163</v>
      </c>
      <c r="E153" s="469">
        <v>1344</v>
      </c>
      <c r="F153" s="469">
        <v>3722</v>
      </c>
      <c r="G153" s="469">
        <v>1334</v>
      </c>
      <c r="H153" s="469">
        <v>1799</v>
      </c>
      <c r="I153" s="470">
        <v>1163</v>
      </c>
      <c r="J153" s="470">
        <v>1115</v>
      </c>
      <c r="K153" s="470">
        <v>1050</v>
      </c>
      <c r="L153" s="470">
        <v>1231</v>
      </c>
      <c r="M153" s="470">
        <v>657</v>
      </c>
      <c r="N153" s="309"/>
    </row>
    <row r="154" spans="2:14">
      <c r="B154" s="471" t="s">
        <v>746</v>
      </c>
      <c r="C154" s="1156">
        <v>9808</v>
      </c>
      <c r="D154" s="1194">
        <v>8613</v>
      </c>
      <c r="E154" s="469">
        <v>6548</v>
      </c>
      <c r="F154" s="469">
        <v>3453</v>
      </c>
      <c r="G154" s="469">
        <v>2819</v>
      </c>
      <c r="H154" s="469">
        <v>2908</v>
      </c>
      <c r="I154" s="470">
        <v>2972</v>
      </c>
      <c r="J154" s="470">
        <v>2187</v>
      </c>
      <c r="K154" s="470">
        <v>2960</v>
      </c>
      <c r="L154" s="470">
        <v>2540</v>
      </c>
      <c r="M154" s="470">
        <v>595</v>
      </c>
      <c r="N154" s="309"/>
    </row>
    <row r="155" spans="2:14">
      <c r="B155" s="471" t="s">
        <v>790</v>
      </c>
      <c r="C155" s="1156">
        <v>2565</v>
      </c>
      <c r="D155" s="1194">
        <v>3034</v>
      </c>
      <c r="E155" s="469">
        <v>2839</v>
      </c>
      <c r="F155" s="469">
        <v>3270</v>
      </c>
      <c r="G155" s="469">
        <v>6538</v>
      </c>
      <c r="H155" s="469">
        <v>1415</v>
      </c>
      <c r="I155" s="470">
        <v>1016</v>
      </c>
      <c r="J155" s="470">
        <v>891</v>
      </c>
      <c r="K155" s="470">
        <v>3722</v>
      </c>
      <c r="L155" s="470">
        <v>3883</v>
      </c>
      <c r="M155" s="470">
        <v>2163</v>
      </c>
      <c r="N155" s="309"/>
    </row>
    <row r="156" spans="2:14">
      <c r="B156" s="471" t="s">
        <v>835</v>
      </c>
      <c r="C156" s="1156">
        <v>1731</v>
      </c>
      <c r="D156" s="1194">
        <v>2169</v>
      </c>
      <c r="E156" s="469">
        <v>1176</v>
      </c>
      <c r="F156" s="469">
        <v>2951</v>
      </c>
      <c r="G156" s="469">
        <v>5643</v>
      </c>
      <c r="H156" s="469">
        <v>404</v>
      </c>
      <c r="I156" s="470">
        <v>339</v>
      </c>
      <c r="J156" s="470">
        <v>241</v>
      </c>
      <c r="K156" s="470">
        <v>255</v>
      </c>
      <c r="L156" s="470">
        <v>664</v>
      </c>
      <c r="M156" s="470">
        <v>150</v>
      </c>
      <c r="N156" s="309"/>
    </row>
    <row r="157" spans="2:14">
      <c r="B157" s="154" t="s">
        <v>129</v>
      </c>
      <c r="C157" s="472">
        <f>C158-C156-C155-C154-C153-C152-C151-C150-C149-C148-C147-C146-C145-C144-C143-C142-C141-C140-C139-C138-C137-C136-C135-C134-C133-C132-C131-C130-C129</f>
        <v>107898</v>
      </c>
      <c r="D157" s="473">
        <f>D158-D156-D155-D154-D153-D152-D151-D150-D149-D148-D147-D146-D145-D144-D143-D142-D141-D140-D139-D138-D137-D136-D135-D134-D133-D132-D131-D130-D129</f>
        <v>110063</v>
      </c>
      <c r="E157" s="473">
        <f>E158-E156-E155-E154-E153-E152-E151-E150-E149-E148-E147-E146-E145-E144-E143-E142-E141-E140-E139-E138-E137-E136-E135-E134-E133-E132-E131-E130-E129</f>
        <v>74744</v>
      </c>
      <c r="F157" s="473">
        <v>36067</v>
      </c>
      <c r="G157" s="473">
        <v>46924</v>
      </c>
      <c r="H157" s="473">
        <v>32175</v>
      </c>
      <c r="I157" s="309">
        <v>23876</v>
      </c>
      <c r="J157" s="309">
        <v>29849</v>
      </c>
      <c r="K157" s="309">
        <v>37067</v>
      </c>
      <c r="L157" s="309">
        <v>47268</v>
      </c>
      <c r="M157" s="309">
        <v>23264</v>
      </c>
      <c r="N157" s="309"/>
    </row>
    <row r="158" spans="2:14">
      <c r="B158" s="474" t="s">
        <v>52</v>
      </c>
      <c r="C158" s="474">
        <v>938831</v>
      </c>
      <c r="D158" s="474">
        <v>912706</v>
      </c>
      <c r="E158" s="474">
        <v>972366</v>
      </c>
      <c r="F158" s="474">
        <v>783839</v>
      </c>
      <c r="G158" s="474">
        <v>724694</v>
      </c>
      <c r="H158" s="474">
        <v>785871</v>
      </c>
      <c r="I158" s="474">
        <v>714131</v>
      </c>
      <c r="J158" s="474">
        <v>726282</v>
      </c>
      <c r="K158" s="474">
        <v>725074</v>
      </c>
      <c r="L158" s="474">
        <v>738687</v>
      </c>
      <c r="M158" s="474">
        <v>690799</v>
      </c>
      <c r="N158" s="960"/>
    </row>
    <row r="159" spans="2:14">
      <c r="B159" s="41" t="s">
        <v>2020</v>
      </c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</row>
    <row r="160" spans="2:14">
      <c r="C160" s="23"/>
      <c r="D160" s="23"/>
    </row>
    <row r="162" spans="2:14" ht="15.6">
      <c r="B162" s="475" t="s">
        <v>837</v>
      </c>
    </row>
    <row r="163" spans="2:14">
      <c r="B163" s="93" t="s">
        <v>589</v>
      </c>
    </row>
    <row r="164" spans="2:14">
      <c r="B164" s="153"/>
      <c r="C164" s="153">
        <v>2024</v>
      </c>
      <c r="D164" s="153">
        <v>2023</v>
      </c>
      <c r="E164" s="153">
        <v>2022</v>
      </c>
      <c r="F164" s="153">
        <v>2021</v>
      </c>
      <c r="G164" s="153">
        <v>2020</v>
      </c>
      <c r="H164" s="153">
        <v>2019</v>
      </c>
      <c r="I164" s="153">
        <v>2018</v>
      </c>
      <c r="J164" s="153">
        <v>2017</v>
      </c>
      <c r="K164" s="153">
        <v>2016</v>
      </c>
      <c r="L164" s="153">
        <v>2015</v>
      </c>
      <c r="M164" s="153">
        <v>2014</v>
      </c>
      <c r="N164" s="94"/>
    </row>
    <row r="165" spans="2:14">
      <c r="B165" s="468" t="s">
        <v>113</v>
      </c>
      <c r="C165" s="1154">
        <v>709008</v>
      </c>
      <c r="D165" s="1193">
        <v>678118</v>
      </c>
      <c r="E165" s="469">
        <v>715389</v>
      </c>
      <c r="F165" s="469">
        <v>548681</v>
      </c>
      <c r="G165" s="469">
        <v>518013</v>
      </c>
      <c r="H165" s="469">
        <v>579715</v>
      </c>
      <c r="I165" s="470">
        <v>512695</v>
      </c>
      <c r="J165" s="470">
        <v>529142</v>
      </c>
      <c r="K165" s="470">
        <v>542652</v>
      </c>
      <c r="L165" s="470">
        <v>544560</v>
      </c>
      <c r="M165" s="470">
        <v>524821</v>
      </c>
      <c r="N165" s="470"/>
    </row>
    <row r="166" spans="2:14">
      <c r="B166" s="468" t="s">
        <v>838</v>
      </c>
      <c r="C166" s="1154">
        <v>189450</v>
      </c>
      <c r="D166" s="1193">
        <v>188956</v>
      </c>
      <c r="E166" s="469">
        <v>202033</v>
      </c>
      <c r="F166" s="469">
        <v>182945</v>
      </c>
      <c r="G166" s="469">
        <v>164941</v>
      </c>
      <c r="H166" s="469">
        <v>164765</v>
      </c>
      <c r="I166" s="470">
        <v>159517</v>
      </c>
      <c r="J166" s="470">
        <v>159683</v>
      </c>
      <c r="K166" s="470">
        <v>148623</v>
      </c>
      <c r="L166" s="470">
        <v>153751</v>
      </c>
      <c r="M166" s="470">
        <v>137609</v>
      </c>
      <c r="N166" s="470"/>
    </row>
    <row r="167" spans="2:14">
      <c r="B167" s="154" t="s">
        <v>789</v>
      </c>
      <c r="C167" s="1157">
        <v>16434</v>
      </c>
      <c r="D167" s="1364">
        <v>19695</v>
      </c>
      <c r="E167" s="476">
        <v>24324</v>
      </c>
      <c r="F167" s="476">
        <v>25053</v>
      </c>
      <c r="G167" s="476">
        <v>16605</v>
      </c>
      <c r="H167" s="476">
        <v>19193</v>
      </c>
      <c r="I167" s="309">
        <v>19648</v>
      </c>
      <c r="J167" s="309">
        <v>15045</v>
      </c>
      <c r="K167" s="309">
        <v>13459</v>
      </c>
      <c r="L167" s="309">
        <v>15361</v>
      </c>
      <c r="M167" s="309">
        <v>11841</v>
      </c>
      <c r="N167" s="309"/>
    </row>
    <row r="168" spans="2:14">
      <c r="B168" s="468" t="s">
        <v>714</v>
      </c>
      <c r="C168" s="1154">
        <v>17777</v>
      </c>
      <c r="D168" s="1193">
        <v>21034</v>
      </c>
      <c r="E168" s="469">
        <v>23854</v>
      </c>
      <c r="F168" s="469">
        <v>16637</v>
      </c>
      <c r="G168" s="469">
        <v>14589</v>
      </c>
      <c r="H168" s="469">
        <v>15821</v>
      </c>
      <c r="I168" s="470">
        <v>16051</v>
      </c>
      <c r="J168" s="470">
        <v>15555</v>
      </c>
      <c r="K168" s="470">
        <v>13501</v>
      </c>
      <c r="L168" s="470">
        <v>15485</v>
      </c>
      <c r="M168" s="470">
        <v>12919</v>
      </c>
      <c r="N168" s="470"/>
    </row>
    <row r="169" spans="2:14">
      <c r="B169" s="468" t="s">
        <v>115</v>
      </c>
      <c r="C169" s="1154">
        <v>5750</v>
      </c>
      <c r="D169" s="1193">
        <v>4733</v>
      </c>
      <c r="E169" s="469">
        <v>6483</v>
      </c>
      <c r="F169" s="469">
        <v>9560</v>
      </c>
      <c r="G169" s="469">
        <v>8971</v>
      </c>
      <c r="H169" s="469">
        <v>4575</v>
      </c>
      <c r="I169" s="470">
        <v>4391</v>
      </c>
      <c r="J169" s="470">
        <v>4922</v>
      </c>
      <c r="K169" s="470">
        <v>4454</v>
      </c>
      <c r="L169" s="470">
        <v>7969</v>
      </c>
      <c r="M169" s="470">
        <v>3391</v>
      </c>
      <c r="N169" s="470"/>
    </row>
    <row r="170" spans="2:14">
      <c r="B170" s="468" t="s">
        <v>114</v>
      </c>
      <c r="C170" s="1154">
        <v>214</v>
      </c>
      <c r="D170" s="1193">
        <v>92</v>
      </c>
      <c r="E170" s="469">
        <v>46</v>
      </c>
      <c r="F170" s="469">
        <v>866</v>
      </c>
      <c r="G170" s="469">
        <v>1487</v>
      </c>
      <c r="H170" s="469">
        <v>1767</v>
      </c>
      <c r="I170" s="470">
        <v>1816</v>
      </c>
      <c r="J170" s="470">
        <v>1932</v>
      </c>
      <c r="K170" s="470">
        <v>2352</v>
      </c>
      <c r="L170" s="470">
        <v>1481</v>
      </c>
      <c r="M170" s="470">
        <v>215</v>
      </c>
      <c r="N170" s="477"/>
    </row>
    <row r="171" spans="2:14">
      <c r="B171" s="468" t="s">
        <v>120</v>
      </c>
      <c r="C171" s="1154">
        <v>198</v>
      </c>
      <c r="D171" s="1193">
        <v>78</v>
      </c>
      <c r="E171" s="469">
        <v>236</v>
      </c>
      <c r="F171" s="469">
        <v>98</v>
      </c>
      <c r="G171" s="469">
        <v>89</v>
      </c>
      <c r="H171" s="469">
        <v>34</v>
      </c>
      <c r="I171" s="470">
        <v>12</v>
      </c>
      <c r="J171" s="470">
        <v>4</v>
      </c>
      <c r="K171" s="470">
        <v>13</v>
      </c>
      <c r="L171" s="470">
        <v>80</v>
      </c>
      <c r="M171" s="470">
        <v>3</v>
      </c>
      <c r="N171" s="470"/>
    </row>
    <row r="172" spans="2:14">
      <c r="B172" s="478" t="s">
        <v>52</v>
      </c>
      <c r="C172" s="478">
        <v>938831</v>
      </c>
      <c r="D172" s="478">
        <v>912706</v>
      </c>
      <c r="E172" s="478">
        <v>972366</v>
      </c>
      <c r="F172" s="478">
        <v>783839</v>
      </c>
      <c r="G172" s="478">
        <v>724694</v>
      </c>
      <c r="H172" s="478">
        <v>785871</v>
      </c>
      <c r="I172" s="478">
        <v>714131</v>
      </c>
      <c r="J172" s="478">
        <v>726282</v>
      </c>
      <c r="K172" s="478">
        <v>725074</v>
      </c>
      <c r="L172" s="478">
        <v>738687</v>
      </c>
      <c r="M172" s="478">
        <v>690799</v>
      </c>
      <c r="N172" s="960"/>
    </row>
    <row r="173" spans="2:14">
      <c r="B173" s="41" t="s">
        <v>2020</v>
      </c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</row>
    <row r="174" spans="2:14">
      <c r="C174" s="23"/>
      <c r="D174" s="23"/>
      <c r="E174" s="23"/>
      <c r="F174" s="23"/>
      <c r="G174" s="23"/>
    </row>
    <row r="175" spans="2:14" ht="15.6">
      <c r="B175" s="475" t="s">
        <v>837</v>
      </c>
    </row>
    <row r="176" spans="2:14">
      <c r="B176" s="93" t="s">
        <v>839</v>
      </c>
    </row>
    <row r="177" spans="2:14">
      <c r="B177" s="153"/>
      <c r="C177" s="153">
        <v>2024</v>
      </c>
      <c r="D177" s="153">
        <v>2023</v>
      </c>
      <c r="E177" s="153">
        <v>2022</v>
      </c>
      <c r="F177" s="153">
        <v>2021</v>
      </c>
      <c r="G177" s="153">
        <v>2020</v>
      </c>
      <c r="H177" s="153">
        <v>2019</v>
      </c>
      <c r="I177" s="153">
        <v>2018</v>
      </c>
      <c r="J177" s="153">
        <v>2017</v>
      </c>
      <c r="K177" s="153">
        <v>2016</v>
      </c>
      <c r="L177" s="153">
        <v>2015</v>
      </c>
      <c r="M177" s="153">
        <v>2014</v>
      </c>
      <c r="N177" s="94"/>
    </row>
    <row r="178" spans="2:14">
      <c r="B178" s="468" t="s">
        <v>113</v>
      </c>
      <c r="C178" s="1154">
        <v>142214</v>
      </c>
      <c r="D178" s="1193">
        <v>144623</v>
      </c>
      <c r="E178" s="469">
        <v>137704</v>
      </c>
      <c r="F178" s="469">
        <v>124646</v>
      </c>
      <c r="G178" s="469">
        <v>116379</v>
      </c>
      <c r="H178" s="469">
        <v>122816</v>
      </c>
      <c r="I178" s="470">
        <v>118168</v>
      </c>
      <c r="J178" s="470">
        <v>113855</v>
      </c>
      <c r="K178" s="470">
        <v>109855</v>
      </c>
      <c r="L178" s="470">
        <v>111425</v>
      </c>
      <c r="M178" s="470">
        <v>120268</v>
      </c>
      <c r="N178" s="470"/>
    </row>
    <row r="179" spans="2:14">
      <c r="B179" s="468" t="s">
        <v>838</v>
      </c>
      <c r="C179" s="1154">
        <v>29220</v>
      </c>
      <c r="D179" s="1193">
        <v>30692</v>
      </c>
      <c r="E179" s="469">
        <v>32952</v>
      </c>
      <c r="F179" s="469">
        <v>36360</v>
      </c>
      <c r="G179" s="469">
        <v>30763</v>
      </c>
      <c r="H179" s="469">
        <v>29731</v>
      </c>
      <c r="I179" s="470">
        <v>30264</v>
      </c>
      <c r="J179" s="470">
        <v>28473</v>
      </c>
      <c r="K179" s="470">
        <v>27486</v>
      </c>
      <c r="L179" s="470">
        <v>27879</v>
      </c>
      <c r="M179" s="470">
        <v>32694</v>
      </c>
      <c r="N179" s="470"/>
    </row>
    <row r="180" spans="2:14">
      <c r="B180" s="468" t="s">
        <v>714</v>
      </c>
      <c r="C180" s="1154">
        <v>3351</v>
      </c>
      <c r="D180" s="1193">
        <v>3721</v>
      </c>
      <c r="E180" s="469">
        <v>4373</v>
      </c>
      <c r="F180" s="469">
        <v>4022</v>
      </c>
      <c r="G180" s="469">
        <v>3669</v>
      </c>
      <c r="H180" s="469">
        <v>3760</v>
      </c>
      <c r="I180" s="470">
        <v>4265</v>
      </c>
      <c r="J180" s="470">
        <v>3928</v>
      </c>
      <c r="K180" s="470">
        <v>3562</v>
      </c>
      <c r="L180" s="470">
        <v>4209</v>
      </c>
      <c r="M180" s="470">
        <v>9803</v>
      </c>
      <c r="N180" s="477"/>
    </row>
    <row r="181" spans="2:14">
      <c r="B181" s="468" t="s">
        <v>115</v>
      </c>
      <c r="C181" s="1154">
        <v>1268</v>
      </c>
      <c r="D181" s="1193">
        <v>1057</v>
      </c>
      <c r="E181" s="469">
        <v>1289</v>
      </c>
      <c r="F181" s="469">
        <v>1624</v>
      </c>
      <c r="G181" s="469">
        <v>1295</v>
      </c>
      <c r="H181" s="469">
        <v>1116</v>
      </c>
      <c r="I181" s="470">
        <v>1115</v>
      </c>
      <c r="J181" s="470">
        <v>1153</v>
      </c>
      <c r="K181" s="470">
        <v>1058</v>
      </c>
      <c r="L181" s="470">
        <v>988</v>
      </c>
      <c r="M181" s="470">
        <v>1386</v>
      </c>
      <c r="N181" s="470"/>
    </row>
    <row r="182" spans="2:14">
      <c r="B182" s="468" t="s">
        <v>789</v>
      </c>
      <c r="C182" s="1154">
        <v>952</v>
      </c>
      <c r="D182" s="1193">
        <v>770</v>
      </c>
      <c r="E182" s="469">
        <v>556</v>
      </c>
      <c r="F182" s="469">
        <v>946</v>
      </c>
      <c r="G182" s="469">
        <v>474</v>
      </c>
      <c r="H182" s="469">
        <v>609</v>
      </c>
      <c r="I182" s="470">
        <v>579</v>
      </c>
      <c r="J182" s="470">
        <v>354</v>
      </c>
      <c r="K182" s="470">
        <v>728</v>
      </c>
      <c r="L182" s="470">
        <v>994</v>
      </c>
      <c r="M182" s="470">
        <v>937</v>
      </c>
      <c r="N182" s="470"/>
    </row>
    <row r="183" spans="2:14">
      <c r="B183" s="468" t="s">
        <v>114</v>
      </c>
      <c r="C183" s="1154">
        <v>38</v>
      </c>
      <c r="D183" s="1193">
        <v>38</v>
      </c>
      <c r="E183" s="469">
        <v>23</v>
      </c>
      <c r="F183" s="469">
        <v>189</v>
      </c>
      <c r="G183" s="469">
        <v>322</v>
      </c>
      <c r="H183" s="469">
        <v>366</v>
      </c>
      <c r="I183" s="470">
        <v>412</v>
      </c>
      <c r="J183" s="470">
        <v>411</v>
      </c>
      <c r="K183" s="470">
        <v>493</v>
      </c>
      <c r="L183" s="470">
        <v>330</v>
      </c>
      <c r="M183" s="470">
        <v>102</v>
      </c>
      <c r="N183" s="470"/>
    </row>
    <row r="184" spans="2:14">
      <c r="B184" s="154" t="s">
        <v>120</v>
      </c>
      <c r="C184" s="1157">
        <v>18</v>
      </c>
      <c r="D184" s="1364">
        <v>5</v>
      </c>
      <c r="E184" s="476">
        <v>12</v>
      </c>
      <c r="F184" s="476">
        <v>8</v>
      </c>
      <c r="G184" s="476">
        <v>6</v>
      </c>
      <c r="H184" s="476">
        <v>2</v>
      </c>
      <c r="I184" s="309">
        <v>1</v>
      </c>
      <c r="J184" s="309" t="s">
        <v>59</v>
      </c>
      <c r="K184" s="309">
        <v>1</v>
      </c>
      <c r="L184" s="309" t="s">
        <v>59</v>
      </c>
      <c r="M184" s="309" t="s">
        <v>59</v>
      </c>
      <c r="N184" s="309"/>
    </row>
    <row r="185" spans="2:14">
      <c r="B185" s="478" t="s">
        <v>52</v>
      </c>
      <c r="C185" s="478">
        <v>177061</v>
      </c>
      <c r="D185" s="478">
        <v>180906</v>
      </c>
      <c r="E185" s="478">
        <v>176911</v>
      </c>
      <c r="F185" s="478">
        <v>167795</v>
      </c>
      <c r="G185" s="478">
        <v>152908</v>
      </c>
      <c r="H185" s="478">
        <v>158400</v>
      </c>
      <c r="I185" s="478">
        <v>154804</v>
      </c>
      <c r="J185" s="478">
        <v>148174</v>
      </c>
      <c r="K185" s="478">
        <v>143183</v>
      </c>
      <c r="L185" s="478">
        <v>145825</v>
      </c>
      <c r="M185" s="478">
        <v>165190</v>
      </c>
      <c r="N185" s="960"/>
    </row>
    <row r="186" spans="2:14">
      <c r="B186" s="41" t="s">
        <v>2020</v>
      </c>
    </row>
  </sheetData>
  <mergeCells count="2">
    <mergeCell ref="C98:D98"/>
    <mergeCell ref="C112:D112"/>
  </mergeCells>
  <hyperlinks>
    <hyperlink ref="B21" r:id="rId1" display="Source: Worldbank, 2017, World Development Indicators " xr:uid="{00000000-0004-0000-0B00-000000000000}"/>
    <hyperlink ref="B89" r:id="rId2" display="Source: Instituto Nacional de Estadistica y Censos (INEC) ESPAC - Resultados-Tablas y gráficos" xr:uid="{00000000-0004-0000-0B00-000001000000}"/>
    <hyperlink ref="B57" r:id="rId3" display="Source: Instituto Nacional de Estadistica y Censos (INEC) ESPAC - Resultados 2017, Tables y gráficos" xr:uid="{00000000-0004-0000-0B00-000002000000}"/>
    <hyperlink ref="B121" r:id="rId4" display="Source: Instituto Nacional de Estadistica y Censos (INEC) ESPAC - 2012 Bases de Datos " xr:uid="{00000000-0004-0000-0B00-000003000000}"/>
    <hyperlink ref="B159" r:id="rId5" display="Source: ITC Trade Map, 2015" xr:uid="{00000000-0004-0000-0B00-000004000000}"/>
    <hyperlink ref="B173" r:id="rId6" display="Source: ITC Trade Map, 2015" xr:uid="{00000000-0004-0000-0B00-000005000000}"/>
    <hyperlink ref="B186" r:id="rId7" display="Source: ITC Trade Map, 2015" xr:uid="{00000000-0004-0000-0B00-000006000000}"/>
  </hyperlinks>
  <pageMargins left="0.7" right="0.7" top="0.78740157499999996" bottom="0.78740157499999996" header="0.3" footer="0.3"/>
  <drawing r:id="rId8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</sheetPr>
  <dimension ref="B3:N71"/>
  <sheetViews>
    <sheetView showGridLines="0" topLeftCell="A27" zoomScaleNormal="100" workbookViewId="0">
      <selection activeCell="B59" sqref="B59"/>
    </sheetView>
  </sheetViews>
  <sheetFormatPr defaultColWidth="11.44140625" defaultRowHeight="14.4"/>
  <cols>
    <col min="2" max="2" width="34.33203125" customWidth="1"/>
    <col min="3" max="3" width="11.5546875" customWidth="1"/>
    <col min="4" max="8" width="8.6640625" customWidth="1"/>
  </cols>
  <sheetData>
    <row r="3" spans="2:8" ht="15.6">
      <c r="B3" s="80" t="s">
        <v>133</v>
      </c>
      <c r="C3" s="80"/>
    </row>
    <row r="4" spans="2:8">
      <c r="D4" s="19"/>
      <c r="E4" s="19"/>
      <c r="F4" s="19"/>
      <c r="G4" s="19"/>
      <c r="H4" s="19"/>
    </row>
    <row r="5" spans="2:8">
      <c r="B5" s="37"/>
      <c r="C5" s="37"/>
      <c r="D5" s="19"/>
      <c r="E5" s="19"/>
      <c r="F5" s="19"/>
      <c r="G5" s="19"/>
      <c r="H5" s="19"/>
    </row>
    <row r="6" spans="2:8" ht="15.6">
      <c r="B6" s="83" t="s">
        <v>134</v>
      </c>
      <c r="C6" s="83"/>
      <c r="D6" s="142"/>
      <c r="E6" s="142"/>
      <c r="H6" s="19"/>
    </row>
    <row r="7" spans="2:8">
      <c r="B7" s="93" t="s">
        <v>46</v>
      </c>
      <c r="C7" s="93"/>
      <c r="D7" s="142"/>
      <c r="E7" s="142"/>
      <c r="H7" s="19"/>
    </row>
    <row r="8" spans="2:8">
      <c r="B8" s="21"/>
      <c r="C8" s="21"/>
      <c r="D8" s="54" t="s">
        <v>404</v>
      </c>
      <c r="E8" s="54" t="s">
        <v>360</v>
      </c>
      <c r="F8" s="54" t="s">
        <v>47</v>
      </c>
      <c r="G8" s="54" t="s">
        <v>48</v>
      </c>
      <c r="H8" s="54" t="s">
        <v>49</v>
      </c>
    </row>
    <row r="9" spans="2:8" ht="15" thickBot="1">
      <c r="B9" s="79" t="s">
        <v>52</v>
      </c>
      <c r="C9" s="79"/>
      <c r="D9" s="216">
        <v>1695</v>
      </c>
      <c r="E9" s="45">
        <v>1426</v>
      </c>
      <c r="F9" s="45">
        <v>1240</v>
      </c>
      <c r="G9" s="45">
        <v>1306</v>
      </c>
      <c r="H9" s="45">
        <v>1376</v>
      </c>
    </row>
    <row r="10" spans="2:8" ht="21" customHeight="1">
      <c r="B10" s="41" t="s">
        <v>402</v>
      </c>
      <c r="C10" s="41"/>
      <c r="G10" s="19"/>
      <c r="H10" s="19"/>
    </row>
    <row r="13" spans="2:8" ht="15.6">
      <c r="B13" s="83" t="s">
        <v>403</v>
      </c>
      <c r="C13" s="83"/>
      <c r="D13" s="142"/>
    </row>
    <row r="14" spans="2:8">
      <c r="B14" s="93" t="s">
        <v>46</v>
      </c>
      <c r="C14" s="93"/>
      <c r="D14" s="142"/>
    </row>
    <row r="15" spans="2:8">
      <c r="B15" s="21"/>
      <c r="C15" s="21"/>
      <c r="D15" s="54">
        <v>2013</v>
      </c>
    </row>
    <row r="16" spans="2:8" ht="15" thickBot="1">
      <c r="B16" s="79" t="s">
        <v>52</v>
      </c>
      <c r="C16" s="79"/>
      <c r="D16" s="216">
        <v>127</v>
      </c>
    </row>
    <row r="17" spans="2:14">
      <c r="B17" s="41" t="s">
        <v>402</v>
      </c>
      <c r="C17" s="41"/>
    </row>
    <row r="19" spans="2:14" ht="15.6">
      <c r="B19" s="86" t="s">
        <v>1297</v>
      </c>
    </row>
    <row r="20" spans="2:14">
      <c r="B20" s="260" t="s">
        <v>582</v>
      </c>
    </row>
    <row r="21" spans="2:14">
      <c r="B21" s="262"/>
      <c r="C21" s="262">
        <v>2024</v>
      </c>
      <c r="D21" s="262">
        <v>2023</v>
      </c>
      <c r="E21" s="262">
        <v>2022</v>
      </c>
      <c r="F21" s="262">
        <v>2021</v>
      </c>
      <c r="G21" s="262">
        <v>2020</v>
      </c>
      <c r="H21" s="262">
        <v>2019</v>
      </c>
      <c r="I21" s="262">
        <v>2018</v>
      </c>
      <c r="J21" s="262">
        <v>2017</v>
      </c>
      <c r="K21" s="262">
        <v>2016</v>
      </c>
      <c r="L21" s="262">
        <v>2015</v>
      </c>
      <c r="M21" s="262">
        <v>2014</v>
      </c>
      <c r="N21" s="757"/>
    </row>
    <row r="22" spans="2:14" ht="15" thickBot="1">
      <c r="B22" s="263" t="s">
        <v>583</v>
      </c>
      <c r="C22" s="1150">
        <v>261925</v>
      </c>
      <c r="D22" s="1363">
        <v>213703</v>
      </c>
      <c r="E22" s="204">
        <v>219257</v>
      </c>
      <c r="F22" s="204">
        <v>215156</v>
      </c>
      <c r="G22" s="204">
        <v>166648</v>
      </c>
      <c r="H22" s="204">
        <v>178642</v>
      </c>
      <c r="I22" s="204">
        <v>168743</v>
      </c>
      <c r="J22" s="204">
        <v>174046</v>
      </c>
      <c r="K22" s="204">
        <v>172559</v>
      </c>
      <c r="L22" s="204">
        <v>175441</v>
      </c>
      <c r="M22" s="204">
        <v>131257</v>
      </c>
      <c r="N22" s="309"/>
    </row>
    <row r="23" spans="2:14" ht="15" thickBot="1">
      <c r="B23" s="268" t="s">
        <v>585</v>
      </c>
      <c r="C23" s="1151">
        <v>33859</v>
      </c>
      <c r="D23" s="1375">
        <v>28495</v>
      </c>
      <c r="E23" s="667">
        <v>24531</v>
      </c>
      <c r="F23" s="667">
        <v>30047</v>
      </c>
      <c r="G23" s="667">
        <v>23228</v>
      </c>
      <c r="H23" s="667">
        <v>23587</v>
      </c>
      <c r="I23" s="667">
        <v>23426</v>
      </c>
      <c r="J23" s="667">
        <v>22402</v>
      </c>
      <c r="K23" s="667">
        <v>22751</v>
      </c>
      <c r="L23" s="667">
        <v>20507</v>
      </c>
      <c r="M23" s="667">
        <v>18226</v>
      </c>
      <c r="N23" s="309"/>
    </row>
    <row r="24" spans="2:14" ht="15" thickBot="1">
      <c r="B24" s="263" t="s">
        <v>586</v>
      </c>
      <c r="C24" s="1150">
        <v>6870</v>
      </c>
      <c r="D24" s="1363">
        <v>14</v>
      </c>
      <c r="E24" s="962">
        <v>9</v>
      </c>
      <c r="F24" s="962">
        <v>91</v>
      </c>
      <c r="G24" s="204" t="s">
        <v>59</v>
      </c>
      <c r="H24" s="962">
        <v>1</v>
      </c>
      <c r="I24" s="962">
        <v>0</v>
      </c>
      <c r="J24" s="962">
        <v>0</v>
      </c>
      <c r="K24" s="962">
        <v>0</v>
      </c>
      <c r="L24" s="962">
        <v>1</v>
      </c>
      <c r="M24" s="962">
        <v>1</v>
      </c>
      <c r="N24" s="1110"/>
    </row>
    <row r="25" spans="2:14">
      <c r="B25" s="264" t="s">
        <v>584</v>
      </c>
      <c r="C25" s="1152">
        <v>10</v>
      </c>
      <c r="D25" s="1376">
        <v>8</v>
      </c>
      <c r="E25" s="952">
        <v>0</v>
      </c>
      <c r="F25" s="952">
        <v>0</v>
      </c>
      <c r="G25" s="265" t="s">
        <v>59</v>
      </c>
      <c r="H25" s="952">
        <v>2</v>
      </c>
      <c r="I25" s="952">
        <v>0</v>
      </c>
      <c r="J25" s="952">
        <v>0</v>
      </c>
      <c r="K25" s="265" t="s">
        <v>59</v>
      </c>
      <c r="L25" s="265" t="s">
        <v>59</v>
      </c>
      <c r="M25" s="952">
        <v>0</v>
      </c>
      <c r="N25" s="1110"/>
    </row>
    <row r="26" spans="2:14">
      <c r="B26" s="261" t="s">
        <v>52</v>
      </c>
      <c r="C26" s="73">
        <v>302664</v>
      </c>
      <c r="D26" s="73">
        <v>242220</v>
      </c>
      <c r="E26" s="266">
        <v>243797</v>
      </c>
      <c r="F26" s="266">
        <v>245294</v>
      </c>
      <c r="G26" s="266">
        <v>189876</v>
      </c>
      <c r="H26" s="266">
        <v>202232</v>
      </c>
      <c r="I26" s="266">
        <v>192169</v>
      </c>
      <c r="J26" s="266">
        <v>196448</v>
      </c>
      <c r="K26" s="266">
        <v>195310</v>
      </c>
      <c r="L26" s="266">
        <v>195949</v>
      </c>
      <c r="M26" s="266">
        <v>149484</v>
      </c>
      <c r="N26" s="126"/>
    </row>
    <row r="27" spans="2:14">
      <c r="B27" s="41" t="s">
        <v>2019</v>
      </c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</row>
    <row r="29" spans="2:14">
      <c r="B29" s="41"/>
      <c r="C29" s="267"/>
      <c r="D29" s="267"/>
      <c r="E29" s="267"/>
      <c r="F29" s="267"/>
      <c r="G29" s="267"/>
      <c r="H29" s="267"/>
      <c r="I29" s="267"/>
      <c r="J29" s="267"/>
      <c r="K29" s="267"/>
      <c r="L29" s="267"/>
      <c r="M29" s="267"/>
    </row>
    <row r="30" spans="2:14">
      <c r="B30" s="41"/>
    </row>
    <row r="31" spans="2:14" ht="15.6">
      <c r="B31" s="86" t="s">
        <v>1297</v>
      </c>
    </row>
    <row r="32" spans="2:14">
      <c r="B32" s="260" t="s">
        <v>1664</v>
      </c>
      <c r="C32" s="260"/>
      <c r="D32" s="260"/>
      <c r="E32" s="260"/>
      <c r="F32" s="260"/>
      <c r="G32" s="260"/>
      <c r="H32" s="260"/>
      <c r="I32" s="260"/>
      <c r="J32" s="260"/>
    </row>
    <row r="33" spans="2:14">
      <c r="B33" s="153"/>
      <c r="C33" s="153">
        <v>2024</v>
      </c>
      <c r="D33" s="153">
        <v>2023</v>
      </c>
      <c r="E33" s="831">
        <v>2022</v>
      </c>
      <c r="F33" s="831">
        <v>2021</v>
      </c>
      <c r="G33" s="831">
        <v>2020</v>
      </c>
      <c r="H33" s="831">
        <v>2019</v>
      </c>
      <c r="I33" s="153">
        <v>2018</v>
      </c>
      <c r="J33" s="153">
        <v>2017</v>
      </c>
      <c r="K33" s="153">
        <v>2016</v>
      </c>
      <c r="L33" s="153">
        <v>2015</v>
      </c>
      <c r="M33" s="153">
        <v>2014</v>
      </c>
      <c r="N33" s="757"/>
    </row>
    <row r="34" spans="2:14" ht="15" thickBot="1">
      <c r="B34" s="263" t="s">
        <v>583</v>
      </c>
      <c r="C34" s="1275">
        <v>261925</v>
      </c>
      <c r="D34" s="1377">
        <v>213703</v>
      </c>
      <c r="E34" s="204">
        <v>219257</v>
      </c>
      <c r="F34" s="204">
        <v>215156</v>
      </c>
      <c r="G34" s="44">
        <v>166648</v>
      </c>
      <c r="H34" s="44">
        <v>178642</v>
      </c>
      <c r="I34" s="204">
        <v>168743</v>
      </c>
      <c r="J34" s="204">
        <v>174046</v>
      </c>
      <c r="K34" s="204">
        <v>172559</v>
      </c>
      <c r="L34" s="204">
        <v>175441</v>
      </c>
      <c r="M34" s="204">
        <v>131257</v>
      </c>
      <c r="N34" s="309"/>
    </row>
    <row r="35" spans="2:14" ht="15" thickBot="1">
      <c r="B35" s="268" t="s">
        <v>1665</v>
      </c>
      <c r="C35" s="1276">
        <v>230704</v>
      </c>
      <c r="D35" s="1378">
        <v>184617</v>
      </c>
      <c r="E35" s="75">
        <v>189431</v>
      </c>
      <c r="F35" s="75">
        <v>187884</v>
      </c>
      <c r="G35" s="75">
        <v>146217</v>
      </c>
      <c r="H35" s="75">
        <v>154881</v>
      </c>
      <c r="I35" s="667">
        <v>145629</v>
      </c>
      <c r="J35" s="667">
        <v>153415</v>
      </c>
      <c r="K35" s="667">
        <v>153000</v>
      </c>
      <c r="L35" s="667">
        <v>157431</v>
      </c>
      <c r="M35" s="667">
        <v>120188</v>
      </c>
      <c r="N35" s="309"/>
    </row>
    <row r="36" spans="2:14" ht="15" thickBot="1">
      <c r="B36" s="209" t="s">
        <v>1666</v>
      </c>
      <c r="C36" s="1276">
        <v>3259</v>
      </c>
      <c r="D36" s="1378">
        <v>0</v>
      </c>
      <c r="E36" s="105">
        <v>0</v>
      </c>
      <c r="F36" s="105">
        <v>0</v>
      </c>
      <c r="G36" s="105">
        <v>0</v>
      </c>
      <c r="H36" s="105">
        <v>0</v>
      </c>
      <c r="I36" s="963">
        <v>0</v>
      </c>
      <c r="J36" s="963">
        <v>0</v>
      </c>
      <c r="K36" s="963">
        <v>0</v>
      </c>
      <c r="L36" s="963">
        <v>5</v>
      </c>
      <c r="M36" s="963">
        <v>0</v>
      </c>
      <c r="N36" s="309"/>
    </row>
    <row r="37" spans="2:14" ht="15" thickBot="1">
      <c r="B37" s="268" t="s">
        <v>1667</v>
      </c>
      <c r="C37" s="1276">
        <v>27735</v>
      </c>
      <c r="D37" s="1378">
        <v>29085</v>
      </c>
      <c r="E37" s="75">
        <v>29823</v>
      </c>
      <c r="F37" s="75">
        <v>27272</v>
      </c>
      <c r="G37" s="75">
        <v>20431</v>
      </c>
      <c r="H37" s="75">
        <v>23761</v>
      </c>
      <c r="I37" s="667">
        <v>23114</v>
      </c>
      <c r="J37" s="667">
        <v>20630</v>
      </c>
      <c r="K37" s="667">
        <v>19559</v>
      </c>
      <c r="L37" s="667">
        <v>18005</v>
      </c>
      <c r="M37" s="667">
        <v>11069</v>
      </c>
      <c r="N37" s="309"/>
    </row>
    <row r="38" spans="2:14" ht="15" thickBot="1">
      <c r="B38" s="268" t="s">
        <v>585</v>
      </c>
      <c r="C38" s="1276">
        <v>33859</v>
      </c>
      <c r="D38" s="1378">
        <v>28495</v>
      </c>
      <c r="E38" s="667">
        <v>24531</v>
      </c>
      <c r="F38" s="667">
        <v>30047</v>
      </c>
      <c r="G38" s="75">
        <v>23228</v>
      </c>
      <c r="H38" s="75">
        <v>23587</v>
      </c>
      <c r="I38" s="667">
        <v>23426</v>
      </c>
      <c r="J38" s="667">
        <v>22402</v>
      </c>
      <c r="K38" s="667">
        <v>22751</v>
      </c>
      <c r="L38" s="667">
        <v>20507</v>
      </c>
      <c r="M38" s="667">
        <v>18226</v>
      </c>
      <c r="N38" s="309"/>
    </row>
    <row r="39" spans="2:14">
      <c r="B39" s="964" t="s">
        <v>1668</v>
      </c>
      <c r="C39" s="1153">
        <v>32073</v>
      </c>
      <c r="D39" s="1379">
        <v>28360</v>
      </c>
      <c r="E39" s="109">
        <v>24234</v>
      </c>
      <c r="F39" s="109">
        <v>29655</v>
      </c>
      <c r="G39" s="109">
        <v>22908</v>
      </c>
      <c r="H39" s="109">
        <v>23346</v>
      </c>
      <c r="I39" s="265">
        <v>23151</v>
      </c>
      <c r="J39" s="265">
        <v>22042</v>
      </c>
      <c r="K39" s="265">
        <v>22557</v>
      </c>
      <c r="L39" s="265">
        <v>20394</v>
      </c>
      <c r="M39" s="265">
        <v>18128</v>
      </c>
      <c r="N39" s="309"/>
    </row>
    <row r="40" spans="2:14">
      <c r="B40" s="261" t="s">
        <v>52</v>
      </c>
      <c r="C40" s="266">
        <f>SUM(C34+C38)</f>
        <v>295784</v>
      </c>
      <c r="D40" s="266">
        <f>SUM(D34+D38)</f>
        <v>242198</v>
      </c>
      <c r="E40" s="266">
        <v>243796</v>
      </c>
      <c r="F40" s="266">
        <v>245294</v>
      </c>
      <c r="G40" s="266">
        <v>189876</v>
      </c>
      <c r="H40" s="266">
        <v>202231</v>
      </c>
      <c r="I40" s="266">
        <v>192170</v>
      </c>
      <c r="J40" s="266">
        <v>196449</v>
      </c>
      <c r="K40" s="266">
        <v>195311</v>
      </c>
      <c r="L40" s="266">
        <v>195949</v>
      </c>
      <c r="M40" s="266">
        <v>149484</v>
      </c>
      <c r="N40" s="309"/>
    </row>
    <row r="41" spans="2:14">
      <c r="B41" s="41" t="s">
        <v>2020</v>
      </c>
    </row>
    <row r="44" spans="2:14" ht="15.6">
      <c r="B44" s="86" t="s">
        <v>1297</v>
      </c>
    </row>
    <row r="45" spans="2:14">
      <c r="B45" s="260" t="s">
        <v>589</v>
      </c>
    </row>
    <row r="46" spans="2:14">
      <c r="B46" s="271" t="s">
        <v>590</v>
      </c>
      <c r="C46" s="271">
        <v>2023</v>
      </c>
      <c r="D46" s="271">
        <v>2022</v>
      </c>
      <c r="E46" s="271">
        <v>2021</v>
      </c>
      <c r="F46" s="271">
        <v>2020</v>
      </c>
      <c r="G46" s="271">
        <v>2019</v>
      </c>
      <c r="H46" s="271">
        <v>2018</v>
      </c>
      <c r="I46" s="271">
        <v>2017</v>
      </c>
      <c r="J46" s="271">
        <v>2016</v>
      </c>
      <c r="K46" s="271">
        <v>2015</v>
      </c>
      <c r="L46" s="271">
        <v>2014</v>
      </c>
      <c r="M46" s="271">
        <v>2013</v>
      </c>
      <c r="N46" s="757"/>
    </row>
    <row r="47" spans="2:14" ht="15" thickBot="1">
      <c r="B47" s="749" t="s">
        <v>13</v>
      </c>
      <c r="C47" s="1173">
        <v>161791</v>
      </c>
      <c r="D47" s="44">
        <v>165484</v>
      </c>
      <c r="E47" s="44">
        <v>158509</v>
      </c>
      <c r="F47" s="44">
        <v>135791</v>
      </c>
      <c r="G47" s="512">
        <v>137941</v>
      </c>
      <c r="H47" s="512">
        <v>134310</v>
      </c>
      <c r="I47" s="512">
        <v>141547</v>
      </c>
      <c r="J47" s="512">
        <v>141380</v>
      </c>
      <c r="K47" s="512">
        <v>149816</v>
      </c>
      <c r="L47" s="512">
        <v>114868</v>
      </c>
      <c r="M47" s="512">
        <v>109893</v>
      </c>
      <c r="N47" s="513"/>
    </row>
    <row r="48" spans="2:14" ht="15" thickBot="1">
      <c r="B48" s="749" t="s">
        <v>1318</v>
      </c>
      <c r="C48" s="1173">
        <v>17197</v>
      </c>
      <c r="D48" s="44">
        <v>18391</v>
      </c>
      <c r="E48" s="44">
        <v>17823</v>
      </c>
      <c r="F48" s="44">
        <v>10956</v>
      </c>
      <c r="G48" s="512">
        <v>12570</v>
      </c>
      <c r="H48" s="512">
        <v>9939</v>
      </c>
      <c r="I48" s="512">
        <v>7868</v>
      </c>
      <c r="J48" s="512">
        <v>7307</v>
      </c>
      <c r="K48" s="512">
        <v>8519</v>
      </c>
      <c r="L48" s="512">
        <v>5464</v>
      </c>
      <c r="M48" s="512">
        <v>4209</v>
      </c>
      <c r="N48" s="513"/>
    </row>
    <row r="49" spans="2:14" ht="15" thickBot="1">
      <c r="B49" s="749" t="s">
        <v>20</v>
      </c>
      <c r="C49" s="1173">
        <v>14074</v>
      </c>
      <c r="D49" s="44">
        <v>13587</v>
      </c>
      <c r="E49" s="44">
        <v>7399</v>
      </c>
      <c r="F49" s="44">
        <v>5303</v>
      </c>
      <c r="G49" s="512">
        <v>8100</v>
      </c>
      <c r="H49" s="512">
        <v>6627</v>
      </c>
      <c r="I49" s="512">
        <v>6843</v>
      </c>
      <c r="J49" s="512">
        <v>6609</v>
      </c>
      <c r="K49" s="512">
        <v>1934</v>
      </c>
      <c r="L49" s="512">
        <v>415</v>
      </c>
      <c r="M49" s="512">
        <v>498</v>
      </c>
      <c r="N49" s="513"/>
    </row>
    <row r="50" spans="2:14" ht="15" thickBot="1">
      <c r="B50" s="749" t="s">
        <v>1669</v>
      </c>
      <c r="C50" s="1173">
        <v>117</v>
      </c>
      <c r="D50" s="44">
        <v>98</v>
      </c>
      <c r="E50" s="44">
        <v>6690</v>
      </c>
      <c r="F50" s="44">
        <v>51</v>
      </c>
      <c r="G50" s="512">
        <v>13</v>
      </c>
      <c r="H50" s="512">
        <v>14</v>
      </c>
      <c r="I50" s="512">
        <v>8</v>
      </c>
      <c r="J50" s="512">
        <v>7</v>
      </c>
      <c r="K50" s="512">
        <v>1</v>
      </c>
      <c r="L50" s="512">
        <v>0</v>
      </c>
      <c r="M50" s="512">
        <v>0</v>
      </c>
      <c r="N50" s="513"/>
    </row>
    <row r="51" spans="2:14" ht="15" thickBot="1">
      <c r="B51" s="749" t="s">
        <v>14</v>
      </c>
      <c r="C51" s="1173">
        <v>3842</v>
      </c>
      <c r="D51" s="44">
        <v>4529</v>
      </c>
      <c r="E51" s="44">
        <v>4635</v>
      </c>
      <c r="F51" s="44">
        <v>4051</v>
      </c>
      <c r="G51" s="512">
        <v>4191</v>
      </c>
      <c r="H51" s="512">
        <v>3515</v>
      </c>
      <c r="I51" s="512">
        <v>3859</v>
      </c>
      <c r="J51" s="512">
        <v>5172</v>
      </c>
      <c r="K51" s="512">
        <v>4434</v>
      </c>
      <c r="L51" s="512">
        <v>3088</v>
      </c>
      <c r="M51" s="512">
        <v>3249</v>
      </c>
      <c r="N51" s="513"/>
    </row>
    <row r="52" spans="2:14" ht="15" thickBot="1">
      <c r="B52" s="749" t="s">
        <v>30</v>
      </c>
      <c r="C52" s="1173">
        <v>3459</v>
      </c>
      <c r="D52" s="44">
        <v>3350</v>
      </c>
      <c r="E52" s="44">
        <v>3628</v>
      </c>
      <c r="F52" s="44">
        <v>2471</v>
      </c>
      <c r="G52" s="512">
        <v>3565</v>
      </c>
      <c r="H52" s="512">
        <v>3412</v>
      </c>
      <c r="I52" s="512">
        <v>3292</v>
      </c>
      <c r="J52" s="512">
        <v>2544</v>
      </c>
      <c r="K52" s="512">
        <v>1904</v>
      </c>
      <c r="L52" s="512">
        <v>884</v>
      </c>
      <c r="M52" s="512">
        <v>1011</v>
      </c>
      <c r="N52" s="513"/>
    </row>
    <row r="53" spans="2:14" ht="15" thickBot="1">
      <c r="B53" s="749" t="s">
        <v>836</v>
      </c>
      <c r="C53" s="1173">
        <v>2654</v>
      </c>
      <c r="D53" s="44">
        <v>2603</v>
      </c>
      <c r="E53" s="44">
        <v>3344</v>
      </c>
      <c r="F53" s="44">
        <v>2142</v>
      </c>
      <c r="G53" s="512">
        <v>2820</v>
      </c>
      <c r="H53" s="512">
        <v>2934</v>
      </c>
      <c r="I53" s="512">
        <v>2945</v>
      </c>
      <c r="J53" s="512">
        <v>3311</v>
      </c>
      <c r="K53" s="512">
        <v>2776</v>
      </c>
      <c r="L53" s="512">
        <v>2086</v>
      </c>
      <c r="M53" s="512">
        <v>1472</v>
      </c>
      <c r="N53" s="513"/>
    </row>
    <row r="54" spans="2:14" ht="15" thickBot="1">
      <c r="B54" s="749" t="s">
        <v>832</v>
      </c>
      <c r="C54" s="1173">
        <v>432</v>
      </c>
      <c r="D54" s="44">
        <v>620</v>
      </c>
      <c r="E54" s="44">
        <v>3188</v>
      </c>
      <c r="F54" s="44">
        <v>282</v>
      </c>
      <c r="G54" s="512">
        <v>417</v>
      </c>
      <c r="H54" s="512">
        <v>271</v>
      </c>
      <c r="I54" s="512">
        <v>162</v>
      </c>
      <c r="J54" s="512">
        <v>108</v>
      </c>
      <c r="K54" s="512">
        <v>12</v>
      </c>
      <c r="L54" s="512">
        <v>44</v>
      </c>
      <c r="M54" s="512">
        <v>45</v>
      </c>
      <c r="N54" s="513"/>
    </row>
    <row r="55" spans="2:14">
      <c r="B55" s="751" t="s">
        <v>129</v>
      </c>
      <c r="C55" s="1262">
        <f>C56-C54-C53-C52-C51-C49-C50-C48-C47</f>
        <v>10137</v>
      </c>
      <c r="D55" s="109">
        <f>D56-D54-D53-D52-D51-D49-D50-D48-D47</f>
        <v>10595</v>
      </c>
      <c r="E55" s="109">
        <v>9943</v>
      </c>
      <c r="F55" s="109">
        <v>5611</v>
      </c>
      <c r="G55" s="513">
        <v>9027</v>
      </c>
      <c r="H55" s="513">
        <v>7719</v>
      </c>
      <c r="I55" s="513">
        <v>7523</v>
      </c>
      <c r="J55" s="513">
        <v>6120</v>
      </c>
      <c r="K55" s="513">
        <v>6049</v>
      </c>
      <c r="L55" s="513">
        <v>4411</v>
      </c>
      <c r="M55" s="513">
        <v>3956</v>
      </c>
      <c r="N55" s="513"/>
    </row>
    <row r="56" spans="2:14">
      <c r="B56" s="271" t="s">
        <v>3</v>
      </c>
      <c r="C56" s="271">
        <v>213703</v>
      </c>
      <c r="D56" s="266">
        <v>219257</v>
      </c>
      <c r="E56" s="266">
        <v>215156</v>
      </c>
      <c r="F56" s="266">
        <v>166648</v>
      </c>
      <c r="G56" s="272">
        <v>178642</v>
      </c>
      <c r="H56" s="272">
        <v>168743</v>
      </c>
      <c r="I56" s="272">
        <v>174046</v>
      </c>
      <c r="J56" s="272">
        <v>172559</v>
      </c>
      <c r="K56" s="272">
        <v>175441</v>
      </c>
      <c r="L56" s="272">
        <v>131257</v>
      </c>
      <c r="M56" s="272">
        <v>124326</v>
      </c>
      <c r="N56" s="959"/>
    </row>
    <row r="57" spans="2:14">
      <c r="B57" s="41" t="s">
        <v>1902</v>
      </c>
    </row>
    <row r="58" spans="2:14"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</row>
    <row r="59" spans="2:14" ht="15.6">
      <c r="B59" s="86" t="s">
        <v>1297</v>
      </c>
    </row>
    <row r="60" spans="2:14">
      <c r="B60" s="260" t="s">
        <v>1670</v>
      </c>
    </row>
    <row r="61" spans="2:14">
      <c r="B61" s="271" t="s">
        <v>590</v>
      </c>
      <c r="C61" s="271">
        <v>2023</v>
      </c>
      <c r="D61" s="271">
        <v>2022</v>
      </c>
      <c r="E61" s="271">
        <v>2021</v>
      </c>
      <c r="F61" s="271">
        <v>2020</v>
      </c>
      <c r="G61" s="271">
        <v>2019</v>
      </c>
      <c r="H61" s="271">
        <v>2018</v>
      </c>
      <c r="I61" s="271">
        <v>2017</v>
      </c>
      <c r="J61" s="271">
        <v>2016</v>
      </c>
      <c r="K61" s="271">
        <v>2015</v>
      </c>
      <c r="L61" s="271">
        <v>2014</v>
      </c>
      <c r="M61" s="271">
        <v>2013</v>
      </c>
      <c r="N61" s="982"/>
    </row>
    <row r="62" spans="2:14" ht="15" thickBot="1">
      <c r="B62" s="749" t="s">
        <v>13</v>
      </c>
      <c r="C62" s="1173">
        <v>17878</v>
      </c>
      <c r="D62" s="44">
        <v>16577</v>
      </c>
      <c r="E62" s="44">
        <v>20074</v>
      </c>
      <c r="F62" s="44">
        <v>16077</v>
      </c>
      <c r="G62" s="512">
        <v>14493</v>
      </c>
      <c r="H62" s="44">
        <v>12954</v>
      </c>
      <c r="I62" s="512">
        <v>10874</v>
      </c>
      <c r="J62" s="512">
        <v>9346</v>
      </c>
      <c r="K62" s="512">
        <v>7732</v>
      </c>
      <c r="L62" s="512">
        <v>6657</v>
      </c>
      <c r="M62" s="512">
        <v>6527</v>
      </c>
      <c r="N62" s="513"/>
    </row>
    <row r="63" spans="2:14" ht="15" thickBot="1">
      <c r="B63" s="263" t="s">
        <v>10</v>
      </c>
      <c r="C63" s="1150">
        <v>5123</v>
      </c>
      <c r="D63" s="44">
        <v>2281</v>
      </c>
      <c r="E63" s="44">
        <v>1757</v>
      </c>
      <c r="F63" s="44">
        <v>1095</v>
      </c>
      <c r="G63" s="512">
        <v>1558</v>
      </c>
      <c r="H63" s="44">
        <v>2246</v>
      </c>
      <c r="I63" s="512">
        <v>2872</v>
      </c>
      <c r="J63" s="512">
        <v>3612</v>
      </c>
      <c r="K63" s="512">
        <v>3779</v>
      </c>
      <c r="L63" s="512">
        <v>4050</v>
      </c>
      <c r="M63" s="512">
        <v>4126</v>
      </c>
      <c r="N63" s="513"/>
    </row>
    <row r="64" spans="2:14" ht="15" thickBot="1">
      <c r="B64" s="749" t="s">
        <v>6</v>
      </c>
      <c r="C64" s="1173">
        <v>468</v>
      </c>
      <c r="D64" s="44">
        <v>503</v>
      </c>
      <c r="E64" s="44">
        <v>1581</v>
      </c>
      <c r="F64" s="44">
        <v>1397</v>
      </c>
      <c r="G64" s="512">
        <v>1633</v>
      </c>
      <c r="H64" s="44">
        <v>1698</v>
      </c>
      <c r="I64" s="512">
        <v>2149</v>
      </c>
      <c r="J64" s="512">
        <v>2736</v>
      </c>
      <c r="K64" s="512">
        <v>2418</v>
      </c>
      <c r="L64" s="512">
        <v>2355</v>
      </c>
      <c r="M64" s="512">
        <v>1942</v>
      </c>
      <c r="N64" s="513"/>
    </row>
    <row r="65" spans="2:14" ht="15" thickBot="1">
      <c r="B65" s="749" t="s">
        <v>32</v>
      </c>
      <c r="C65" s="1173">
        <v>891</v>
      </c>
      <c r="D65" s="44">
        <v>1493</v>
      </c>
      <c r="E65" s="44">
        <v>1358</v>
      </c>
      <c r="F65" s="44">
        <v>543</v>
      </c>
      <c r="G65" s="512">
        <v>718</v>
      </c>
      <c r="H65" s="44">
        <v>856</v>
      </c>
      <c r="I65" s="512">
        <v>866</v>
      </c>
      <c r="J65" s="512">
        <v>966</v>
      </c>
      <c r="K65" s="512">
        <v>956</v>
      </c>
      <c r="L65" s="512">
        <v>743</v>
      </c>
      <c r="M65" s="512">
        <v>644</v>
      </c>
      <c r="N65" s="513"/>
    </row>
    <row r="66" spans="2:14" ht="15" thickBot="1">
      <c r="B66" s="749" t="s">
        <v>1620</v>
      </c>
      <c r="C66" s="1173">
        <v>308</v>
      </c>
      <c r="D66" s="44">
        <v>253</v>
      </c>
      <c r="E66" s="44">
        <v>1085</v>
      </c>
      <c r="F66" s="44">
        <v>1551</v>
      </c>
      <c r="G66" s="512">
        <v>2153</v>
      </c>
      <c r="H66" s="44">
        <v>2434</v>
      </c>
      <c r="I66" s="512">
        <v>2392</v>
      </c>
      <c r="J66" s="512">
        <v>2982</v>
      </c>
      <c r="K66" s="512">
        <v>3145</v>
      </c>
      <c r="L66" s="512">
        <v>2325</v>
      </c>
      <c r="M66" s="512">
        <v>1662</v>
      </c>
      <c r="N66" s="513"/>
    </row>
    <row r="67" spans="2:14" ht="15" thickBot="1">
      <c r="B67" s="749" t="s">
        <v>17</v>
      </c>
      <c r="C67" s="1173">
        <v>1065</v>
      </c>
      <c r="D67" s="44">
        <v>1007</v>
      </c>
      <c r="E67" s="44">
        <v>1079</v>
      </c>
      <c r="F67" s="44">
        <v>441</v>
      </c>
      <c r="G67" s="512">
        <v>637</v>
      </c>
      <c r="H67" s="44">
        <v>562</v>
      </c>
      <c r="I67" s="512">
        <v>529</v>
      </c>
      <c r="J67" s="512">
        <v>525</v>
      </c>
      <c r="K67" s="512">
        <v>208</v>
      </c>
      <c r="L67" s="512">
        <v>28</v>
      </c>
      <c r="M67" s="512">
        <v>56</v>
      </c>
      <c r="N67" s="1126"/>
    </row>
    <row r="68" spans="2:14" ht="15" thickBot="1">
      <c r="B68" s="749" t="s">
        <v>12</v>
      </c>
      <c r="C68" s="1173">
        <v>1390</v>
      </c>
      <c r="D68" s="44">
        <v>1070</v>
      </c>
      <c r="E68" s="44">
        <v>1047</v>
      </c>
      <c r="F68" s="44">
        <v>768</v>
      </c>
      <c r="G68" s="512">
        <v>813</v>
      </c>
      <c r="H68" s="44">
        <v>778</v>
      </c>
      <c r="I68" s="512">
        <v>825</v>
      </c>
      <c r="J68" s="512">
        <v>761</v>
      </c>
      <c r="K68" s="512">
        <v>734</v>
      </c>
      <c r="L68" s="512">
        <v>765</v>
      </c>
      <c r="M68" s="512">
        <v>655</v>
      </c>
      <c r="N68" s="1126"/>
    </row>
    <row r="69" spans="2:14">
      <c r="B69" s="751" t="s">
        <v>129</v>
      </c>
      <c r="C69" s="1188">
        <f>C70-C68-C67-C66-C65-C64-C63-C62</f>
        <v>1237</v>
      </c>
      <c r="D69" s="965">
        <f>D70-D68-D67-D66-D65-D64-D63-D62</f>
        <v>1050</v>
      </c>
      <c r="E69" s="965">
        <v>1675</v>
      </c>
      <c r="F69" s="965">
        <v>1037</v>
      </c>
      <c r="G69" s="965">
        <v>1340</v>
      </c>
      <c r="H69" s="109">
        <v>1623</v>
      </c>
      <c r="I69" s="513">
        <v>1536</v>
      </c>
      <c r="J69" s="513">
        <v>1629</v>
      </c>
      <c r="K69" s="513">
        <v>1423</v>
      </c>
      <c r="L69" s="513">
        <v>1208</v>
      </c>
      <c r="M69" s="513">
        <v>1241</v>
      </c>
      <c r="N69" s="513"/>
    </row>
    <row r="70" spans="2:14">
      <c r="B70" s="271" t="s">
        <v>52</v>
      </c>
      <c r="C70" s="271">
        <v>28360</v>
      </c>
      <c r="D70" s="840">
        <v>24234</v>
      </c>
      <c r="E70" s="840">
        <v>29655</v>
      </c>
      <c r="F70" s="840">
        <v>22908</v>
      </c>
      <c r="G70" s="840">
        <v>23346</v>
      </c>
      <c r="H70" s="266">
        <v>23151</v>
      </c>
      <c r="I70" s="266">
        <v>22042</v>
      </c>
      <c r="J70" s="266">
        <v>22557</v>
      </c>
      <c r="K70" s="266">
        <v>20394</v>
      </c>
      <c r="L70" s="266">
        <v>18128</v>
      </c>
      <c r="M70" s="266">
        <v>16848</v>
      </c>
      <c r="N70" s="126"/>
    </row>
    <row r="71" spans="2:14">
      <c r="B71" s="41" t="s">
        <v>1902</v>
      </c>
      <c r="C71" s="23"/>
      <c r="D71" s="23"/>
      <c r="E71" s="23"/>
      <c r="F71" s="23"/>
      <c r="G71" s="23"/>
      <c r="H71" s="23"/>
      <c r="I71" s="23"/>
    </row>
  </sheetData>
  <hyperlinks>
    <hyperlink ref="B10" r:id="rId1" location="medialink" xr:uid="{00000000-0004-0000-0C00-000000000000}"/>
    <hyperlink ref="B17" r:id="rId2" location="medialink" xr:uid="{00000000-0004-0000-0C00-000001000000}"/>
    <hyperlink ref="B71" r:id="rId3" display="Source: ITC Trade Map, 2018" xr:uid="{00000000-0004-0000-0C00-000002000000}"/>
    <hyperlink ref="B57" r:id="rId4" display="Source: ITC Trade Map, 2018" xr:uid="{00000000-0004-0000-0C00-000003000000}"/>
    <hyperlink ref="B41" r:id="rId5" display="Source: ITC Trade Map, 2018" xr:uid="{00000000-0004-0000-0C00-000004000000}"/>
    <hyperlink ref="B27" r:id="rId6" display="Source: ITC" xr:uid="{00000000-0004-0000-0C00-000005000000}"/>
  </hyperlinks>
  <pageMargins left="0.7" right="0.7" top="0.78740157499999996" bottom="0.78740157499999996" header="0.3" footer="0.3"/>
  <pageSetup paperSize="9" orientation="portrait" verticalDpi="300" r:id="rId7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</sheetPr>
  <dimension ref="B1:AG62"/>
  <sheetViews>
    <sheetView showGridLines="0" topLeftCell="A49" zoomScale="115" zoomScaleNormal="115" workbookViewId="0">
      <selection activeCell="S25" sqref="S25"/>
    </sheetView>
  </sheetViews>
  <sheetFormatPr defaultColWidth="11.44140625" defaultRowHeight="14.4"/>
  <cols>
    <col min="1" max="1" width="6.33203125" customWidth="1"/>
    <col min="2" max="2" width="28.5546875" customWidth="1"/>
    <col min="3" max="3" width="12.44140625" style="142" customWidth="1"/>
    <col min="4" max="14" width="6.88671875" customWidth="1"/>
    <col min="15" max="17" width="2.88671875" customWidth="1"/>
    <col min="18" max="18" width="18.21875" customWidth="1"/>
    <col min="19" max="19" width="18.33203125" style="464" customWidth="1"/>
    <col min="20" max="30" width="6.33203125" customWidth="1"/>
  </cols>
  <sheetData>
    <row r="1" spans="2:33" ht="15" customHeight="1">
      <c r="B1" s="83"/>
      <c r="C1" s="1048"/>
      <c r="D1" s="83"/>
      <c r="E1" s="83"/>
      <c r="F1" s="83"/>
      <c r="G1" s="83"/>
      <c r="H1" s="83"/>
      <c r="I1" s="83"/>
      <c r="J1" s="83"/>
      <c r="K1" s="83"/>
    </row>
    <row r="2" spans="2:33" ht="15" customHeight="1">
      <c r="B2" s="83" t="s">
        <v>135</v>
      </c>
      <c r="C2" s="1048"/>
      <c r="D2" s="83"/>
      <c r="E2" s="83"/>
      <c r="F2" s="83"/>
      <c r="G2" s="83"/>
      <c r="H2" s="83"/>
      <c r="I2" s="83"/>
      <c r="J2" s="83"/>
      <c r="K2" s="83"/>
    </row>
    <row r="3" spans="2:33" ht="15" customHeight="1">
      <c r="B3" s="83"/>
      <c r="C3" s="1048"/>
      <c r="D3" s="83"/>
      <c r="E3" s="83"/>
      <c r="F3" s="83"/>
      <c r="G3" s="83"/>
      <c r="H3" s="83"/>
      <c r="I3" s="83"/>
      <c r="J3" s="83"/>
      <c r="K3" s="83"/>
    </row>
    <row r="4" spans="2:33" ht="15" customHeight="1">
      <c r="B4" s="83" t="s">
        <v>443</v>
      </c>
      <c r="C4" s="1048"/>
      <c r="D4" s="93"/>
      <c r="E4" s="93"/>
      <c r="F4" s="93"/>
      <c r="G4" s="93"/>
      <c r="H4" s="93"/>
      <c r="I4" s="93"/>
      <c r="J4" s="93"/>
      <c r="K4" s="93"/>
      <c r="S4" s="83" t="s">
        <v>136</v>
      </c>
      <c r="T4" s="93"/>
      <c r="U4" s="93"/>
      <c r="V4" s="93"/>
      <c r="W4" s="93"/>
      <c r="X4" s="93"/>
      <c r="Y4" s="93"/>
      <c r="Z4" s="93"/>
      <c r="AA4" s="93"/>
      <c r="AB4" s="93"/>
    </row>
    <row r="5" spans="2:33" ht="15" customHeight="1">
      <c r="B5" s="93" t="s">
        <v>394</v>
      </c>
      <c r="C5" s="1049"/>
      <c r="D5" s="93"/>
      <c r="E5" s="93"/>
      <c r="F5" s="93"/>
      <c r="G5" s="93"/>
      <c r="H5" s="93"/>
      <c r="I5" s="93"/>
      <c r="J5" s="93"/>
      <c r="K5" s="93"/>
      <c r="S5" s="93" t="s">
        <v>336</v>
      </c>
      <c r="T5" s="93"/>
      <c r="U5" s="93"/>
      <c r="V5" s="93"/>
      <c r="W5" s="93"/>
      <c r="X5" s="93"/>
      <c r="Y5" s="93"/>
      <c r="Z5" s="93"/>
      <c r="AA5" s="93"/>
      <c r="AB5" s="93"/>
    </row>
    <row r="6" spans="2:33" ht="15" customHeight="1">
      <c r="B6" s="194"/>
      <c r="C6" s="115">
        <v>2024</v>
      </c>
      <c r="D6" s="115">
        <v>2023</v>
      </c>
      <c r="E6" s="115">
        <v>2022</v>
      </c>
      <c r="F6" s="115">
        <v>2021</v>
      </c>
      <c r="G6" s="115">
        <v>2020</v>
      </c>
      <c r="H6" s="115">
        <v>2019</v>
      </c>
      <c r="I6" s="115">
        <v>2018</v>
      </c>
      <c r="J6" s="115">
        <v>2017</v>
      </c>
      <c r="K6" s="115">
        <v>2016</v>
      </c>
      <c r="L6" s="115">
        <v>2015</v>
      </c>
      <c r="M6" s="115">
        <v>2014</v>
      </c>
      <c r="N6" s="94"/>
      <c r="O6" s="94"/>
      <c r="P6" s="94"/>
      <c r="S6" s="194"/>
      <c r="T6" s="115">
        <v>2024</v>
      </c>
      <c r="U6" s="115">
        <v>2023</v>
      </c>
      <c r="V6" s="115">
        <v>2022</v>
      </c>
      <c r="W6" s="115">
        <v>2021</v>
      </c>
      <c r="X6" s="115">
        <v>2020</v>
      </c>
      <c r="Y6" s="115">
        <v>2019</v>
      </c>
      <c r="Z6" s="115">
        <v>2018</v>
      </c>
      <c r="AA6" s="115">
        <v>2017</v>
      </c>
      <c r="AB6" s="115">
        <v>2016</v>
      </c>
      <c r="AC6" s="115">
        <v>2015</v>
      </c>
      <c r="AD6" s="115">
        <v>2014</v>
      </c>
      <c r="AE6" s="94"/>
      <c r="AF6" s="94"/>
      <c r="AG6" s="94"/>
    </row>
    <row r="7" spans="2:33" ht="15" customHeight="1" thickBot="1">
      <c r="B7" s="61" t="s">
        <v>46</v>
      </c>
      <c r="C7" s="50"/>
      <c r="D7" s="61"/>
      <c r="E7" s="60"/>
      <c r="F7" s="984"/>
      <c r="G7" s="59"/>
      <c r="H7" s="59"/>
      <c r="I7" s="59"/>
      <c r="J7" s="59"/>
      <c r="K7" s="59"/>
      <c r="L7" s="59"/>
      <c r="M7" s="59"/>
      <c r="N7" s="102"/>
      <c r="O7" s="102"/>
      <c r="P7" s="102"/>
      <c r="S7" s="34" t="s">
        <v>137</v>
      </c>
      <c r="T7" s="146">
        <v>107</v>
      </c>
      <c r="U7" s="984">
        <v>106</v>
      </c>
      <c r="V7" s="984">
        <v>114</v>
      </c>
      <c r="W7" s="202">
        <v>114</v>
      </c>
      <c r="X7" s="62">
        <v>115</v>
      </c>
      <c r="Y7" s="62">
        <v>117</v>
      </c>
      <c r="Z7" s="62">
        <v>120</v>
      </c>
      <c r="AA7" s="62">
        <v>121</v>
      </c>
      <c r="AB7" s="62">
        <v>121</v>
      </c>
      <c r="AC7" s="62">
        <v>123</v>
      </c>
      <c r="AD7" s="62">
        <v>127</v>
      </c>
      <c r="AE7" s="103"/>
      <c r="AF7" s="103"/>
      <c r="AG7" s="103"/>
    </row>
    <row r="8" spans="2:33" ht="15" customHeight="1" thickBot="1">
      <c r="B8" s="61" t="s">
        <v>138</v>
      </c>
      <c r="C8" s="50">
        <v>8.8000000000000007</v>
      </c>
      <c r="D8" s="61">
        <v>6.3</v>
      </c>
      <c r="E8" s="60">
        <v>3.7</v>
      </c>
      <c r="F8" s="202">
        <v>7</v>
      </c>
      <c r="G8" s="60">
        <v>8.3000000000000007</v>
      </c>
      <c r="H8" s="60">
        <v>5.7</v>
      </c>
      <c r="I8" s="60">
        <v>4.5999999999999996</v>
      </c>
      <c r="J8" s="60" t="s">
        <v>59</v>
      </c>
      <c r="K8" s="60">
        <v>4.9000000000000004</v>
      </c>
      <c r="L8" s="60">
        <v>3.9</v>
      </c>
      <c r="M8" s="60">
        <v>4.4000000000000004</v>
      </c>
      <c r="N8" s="94"/>
      <c r="O8" s="94"/>
      <c r="P8" s="94"/>
      <c r="Q8" s="20"/>
      <c r="R8" s="20"/>
      <c r="S8" s="34" t="s">
        <v>2</v>
      </c>
      <c r="T8" s="146">
        <v>372</v>
      </c>
      <c r="U8" s="984">
        <v>376</v>
      </c>
      <c r="V8" s="984">
        <v>405</v>
      </c>
      <c r="W8" s="202">
        <v>419</v>
      </c>
      <c r="X8" s="62">
        <v>434</v>
      </c>
      <c r="Y8" s="62">
        <v>453</v>
      </c>
      <c r="Z8" s="62">
        <v>467</v>
      </c>
      <c r="AA8" s="62">
        <v>499</v>
      </c>
      <c r="AB8" s="62">
        <v>526</v>
      </c>
      <c r="AC8" s="62">
        <v>529</v>
      </c>
      <c r="AD8" s="62">
        <v>557</v>
      </c>
      <c r="AE8" s="103"/>
      <c r="AF8" s="103"/>
      <c r="AG8" s="103"/>
    </row>
    <row r="9" spans="2:33" ht="10.5" customHeight="1">
      <c r="B9" s="20"/>
      <c r="C9" s="53"/>
      <c r="D9" s="20"/>
      <c r="E9" s="94"/>
      <c r="F9" s="102"/>
      <c r="G9" s="102"/>
      <c r="H9" s="102"/>
      <c r="I9" s="102"/>
      <c r="J9" s="102"/>
      <c r="K9" s="102"/>
      <c r="L9" s="102"/>
      <c r="M9" s="102"/>
      <c r="N9" s="103"/>
      <c r="O9" s="103"/>
      <c r="P9" s="103"/>
      <c r="Q9" s="20"/>
      <c r="R9" s="20"/>
      <c r="S9" s="10" t="s">
        <v>2038</v>
      </c>
      <c r="T9" s="1050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</row>
    <row r="10" spans="2:33" ht="15" customHeight="1" thickBot="1">
      <c r="B10" s="61" t="s">
        <v>272</v>
      </c>
      <c r="C10" s="50"/>
      <c r="D10" s="61"/>
      <c r="E10" s="60"/>
      <c r="F10" s="60"/>
      <c r="G10" s="59"/>
      <c r="H10" s="59"/>
      <c r="I10" s="59"/>
      <c r="J10" s="59"/>
      <c r="K10" s="59"/>
      <c r="L10" s="59"/>
      <c r="M10" s="59"/>
      <c r="N10" s="94"/>
      <c r="O10" s="94"/>
      <c r="P10" s="94"/>
      <c r="Q10" s="20"/>
      <c r="R10" s="20"/>
      <c r="S10" s="63"/>
      <c r="T10" s="1051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</row>
    <row r="11" spans="2:33" ht="15" customHeight="1" thickBot="1">
      <c r="B11" s="61" t="s">
        <v>140</v>
      </c>
      <c r="C11" s="1144">
        <v>65417</v>
      </c>
      <c r="D11" s="1207">
        <v>69725</v>
      </c>
      <c r="E11" s="60" t="s">
        <v>1773</v>
      </c>
      <c r="F11" s="45">
        <v>78164</v>
      </c>
      <c r="G11" s="45">
        <v>81842</v>
      </c>
      <c r="H11" s="45">
        <v>86823</v>
      </c>
      <c r="I11" s="45">
        <v>76753</v>
      </c>
      <c r="J11" s="45">
        <v>79106</v>
      </c>
      <c r="K11" s="45">
        <v>86147</v>
      </c>
      <c r="L11" s="45">
        <v>74323</v>
      </c>
      <c r="M11" s="45">
        <v>64261</v>
      </c>
      <c r="N11" s="122"/>
      <c r="O11" s="122"/>
      <c r="P11" s="122"/>
      <c r="Q11" s="20"/>
      <c r="R11" s="20"/>
      <c r="S11" s="63"/>
      <c r="T11" s="1051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</row>
    <row r="12" spans="2:33" ht="15" customHeight="1" thickBot="1">
      <c r="B12" s="84" t="s">
        <v>141</v>
      </c>
      <c r="C12" s="1143">
        <v>55549</v>
      </c>
      <c r="D12" s="1140">
        <v>59868</v>
      </c>
      <c r="E12" s="59" t="s">
        <v>1774</v>
      </c>
      <c r="F12" s="46">
        <v>69545</v>
      </c>
      <c r="G12" s="46">
        <v>72730</v>
      </c>
      <c r="H12" s="46">
        <v>73547</v>
      </c>
      <c r="I12" s="46">
        <v>70592</v>
      </c>
      <c r="J12" s="46">
        <v>73052</v>
      </c>
      <c r="K12" s="46">
        <v>80828</v>
      </c>
      <c r="L12" s="46">
        <v>68695</v>
      </c>
      <c r="M12" s="46">
        <v>59189</v>
      </c>
      <c r="N12" s="121"/>
      <c r="O12" s="121"/>
      <c r="P12" s="121"/>
      <c r="Q12" s="152"/>
      <c r="R12" s="152"/>
      <c r="S12" s="63"/>
      <c r="T12" s="1051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</row>
    <row r="13" spans="2:33" ht="15" customHeight="1" thickBot="1">
      <c r="B13" s="84" t="s">
        <v>142</v>
      </c>
      <c r="C13" s="1143">
        <v>2481</v>
      </c>
      <c r="D13" s="1140">
        <v>2536</v>
      </c>
      <c r="E13" s="59" t="s">
        <v>1775</v>
      </c>
      <c r="F13" s="46">
        <v>2493</v>
      </c>
      <c r="G13" s="46">
        <v>2999</v>
      </c>
      <c r="H13" s="46">
        <v>2463</v>
      </c>
      <c r="I13" s="46">
        <v>2505</v>
      </c>
      <c r="J13" s="46">
        <v>2613</v>
      </c>
      <c r="K13" s="46">
        <v>2393</v>
      </c>
      <c r="L13" s="46">
        <v>2220</v>
      </c>
      <c r="M13" s="46">
        <v>2404</v>
      </c>
      <c r="N13" s="121"/>
      <c r="O13" s="121"/>
      <c r="P13" s="121"/>
      <c r="Q13" s="152"/>
      <c r="R13" s="152"/>
      <c r="S13"/>
      <c r="T13" s="464"/>
    </row>
    <row r="14" spans="2:33" ht="15" customHeight="1" thickBot="1">
      <c r="B14" s="84" t="s">
        <v>143</v>
      </c>
      <c r="C14" s="1143">
        <v>223</v>
      </c>
      <c r="D14" s="1140">
        <v>315</v>
      </c>
      <c r="E14" s="59">
        <v>335</v>
      </c>
      <c r="F14" s="46">
        <v>340</v>
      </c>
      <c r="G14" s="46">
        <v>308</v>
      </c>
      <c r="H14" s="46">
        <v>407</v>
      </c>
      <c r="I14" s="46">
        <v>219</v>
      </c>
      <c r="J14" s="46">
        <v>163</v>
      </c>
      <c r="K14" s="46">
        <v>349</v>
      </c>
      <c r="L14" s="46">
        <v>583</v>
      </c>
      <c r="M14" s="46">
        <v>538</v>
      </c>
      <c r="N14" s="121"/>
      <c r="O14" s="121"/>
      <c r="P14" s="121"/>
      <c r="Q14" s="152"/>
      <c r="R14" s="152"/>
      <c r="S14" s="83" t="s">
        <v>377</v>
      </c>
      <c r="T14" s="1048"/>
    </row>
    <row r="15" spans="2:33" ht="15" customHeight="1" thickBot="1">
      <c r="B15" s="84" t="s">
        <v>144</v>
      </c>
      <c r="C15" s="1143">
        <v>1077</v>
      </c>
      <c r="D15" s="1140">
        <v>1114</v>
      </c>
      <c r="E15" s="59" t="s">
        <v>1776</v>
      </c>
      <c r="F15" s="46">
        <v>1198</v>
      </c>
      <c r="G15" s="46">
        <v>1135</v>
      </c>
      <c r="H15" s="46">
        <v>1566</v>
      </c>
      <c r="I15" s="46">
        <v>1018</v>
      </c>
      <c r="J15" s="46">
        <v>1208</v>
      </c>
      <c r="K15" s="46">
        <v>993</v>
      </c>
      <c r="L15" s="46">
        <v>1131</v>
      </c>
      <c r="M15" s="46">
        <v>1048</v>
      </c>
      <c r="N15" s="121"/>
      <c r="O15" s="121"/>
      <c r="P15" s="121"/>
      <c r="Q15" s="152"/>
      <c r="R15" s="152"/>
      <c r="S15" s="93" t="s">
        <v>145</v>
      </c>
      <c r="T15" s="1049"/>
    </row>
    <row r="16" spans="2:33" ht="15" customHeight="1" thickBot="1">
      <c r="B16" s="84" t="s">
        <v>114</v>
      </c>
      <c r="C16" s="1145" t="s">
        <v>59</v>
      </c>
      <c r="D16" s="1168" t="s">
        <v>59</v>
      </c>
      <c r="E16" s="59" t="s">
        <v>59</v>
      </c>
      <c r="F16" s="46" t="s">
        <v>59</v>
      </c>
      <c r="G16" s="46" t="s">
        <v>59</v>
      </c>
      <c r="H16" s="46" t="s">
        <v>59</v>
      </c>
      <c r="I16" s="46" t="s">
        <v>59</v>
      </c>
      <c r="J16" s="46" t="s">
        <v>59</v>
      </c>
      <c r="K16" s="46" t="s">
        <v>59</v>
      </c>
      <c r="L16" s="46" t="s">
        <v>59</v>
      </c>
      <c r="M16" s="46">
        <v>272</v>
      </c>
      <c r="N16" s="121"/>
      <c r="O16" s="121"/>
      <c r="P16" s="121"/>
      <c r="Q16" s="152"/>
      <c r="R16" s="152"/>
      <c r="S16" s="194"/>
      <c r="T16" s="115">
        <v>2024</v>
      </c>
      <c r="U16" s="115">
        <v>2023</v>
      </c>
      <c r="V16" s="115">
        <v>2022</v>
      </c>
      <c r="W16" s="115">
        <v>2021</v>
      </c>
      <c r="X16" s="115">
        <v>2020</v>
      </c>
      <c r="Y16" s="115">
        <v>2019</v>
      </c>
      <c r="Z16" s="115">
        <v>2018</v>
      </c>
      <c r="AA16" s="115">
        <v>2017</v>
      </c>
      <c r="AB16" s="115">
        <v>2016</v>
      </c>
      <c r="AC16" s="115">
        <v>2015</v>
      </c>
      <c r="AD16" s="115">
        <v>2014</v>
      </c>
      <c r="AE16" s="94"/>
      <c r="AF16" s="94"/>
      <c r="AG16" s="94"/>
    </row>
    <row r="17" spans="2:33" ht="15" customHeight="1" thickBot="1">
      <c r="B17" s="84" t="s">
        <v>129</v>
      </c>
      <c r="C17" s="1143">
        <v>2384</v>
      </c>
      <c r="D17" s="1140">
        <v>1735</v>
      </c>
      <c r="E17" s="59" t="s">
        <v>1777</v>
      </c>
      <c r="F17" s="46">
        <v>1572</v>
      </c>
      <c r="G17" s="46">
        <v>325</v>
      </c>
      <c r="H17" s="46">
        <v>721</v>
      </c>
      <c r="I17" s="46">
        <v>2420</v>
      </c>
      <c r="J17" s="46">
        <v>2070</v>
      </c>
      <c r="K17" s="46">
        <v>1584</v>
      </c>
      <c r="L17" s="46">
        <v>1694</v>
      </c>
      <c r="M17" s="46">
        <v>810</v>
      </c>
      <c r="N17" s="121"/>
      <c r="O17" s="121"/>
      <c r="P17" s="121"/>
      <c r="Q17" s="152"/>
      <c r="R17" s="152"/>
      <c r="S17" s="34" t="s">
        <v>146</v>
      </c>
      <c r="T17" s="146">
        <v>35</v>
      </c>
      <c r="U17" s="984">
        <v>36</v>
      </c>
      <c r="V17" s="984">
        <v>41</v>
      </c>
      <c r="W17" s="202">
        <v>57</v>
      </c>
      <c r="X17" s="62">
        <v>49</v>
      </c>
      <c r="Y17" s="62">
        <v>36</v>
      </c>
      <c r="Z17" s="62">
        <v>53</v>
      </c>
      <c r="AA17" s="62">
        <v>52</v>
      </c>
      <c r="AB17" s="62">
        <v>64</v>
      </c>
      <c r="AC17" s="62">
        <v>68</v>
      </c>
      <c r="AD17" s="62">
        <v>64</v>
      </c>
      <c r="AE17" s="103"/>
      <c r="AF17" s="103"/>
      <c r="AG17" s="103"/>
    </row>
    <row r="18" spans="2:33" ht="15" customHeight="1" thickBot="1">
      <c r="B18" s="61" t="s">
        <v>473</v>
      </c>
      <c r="C18" s="1144">
        <v>5373</v>
      </c>
      <c r="D18" s="1207">
        <v>5687</v>
      </c>
      <c r="E18" s="60" t="s">
        <v>1778</v>
      </c>
      <c r="F18" s="45">
        <v>6303</v>
      </c>
      <c r="G18" s="45">
        <v>6240</v>
      </c>
      <c r="H18" s="45">
        <v>6223</v>
      </c>
      <c r="I18" s="45">
        <v>9721</v>
      </c>
      <c r="J18" s="45">
        <v>10477</v>
      </c>
      <c r="K18" s="45">
        <v>9405</v>
      </c>
      <c r="L18" s="45">
        <v>9215</v>
      </c>
      <c r="M18" s="45">
        <v>10534</v>
      </c>
      <c r="N18" s="122"/>
      <c r="O18" s="122"/>
      <c r="P18" s="122"/>
      <c r="Q18" s="152"/>
      <c r="R18" s="152"/>
      <c r="S18" s="34" t="s">
        <v>147</v>
      </c>
      <c r="T18" s="146">
        <v>52</v>
      </c>
      <c r="U18" s="984">
        <v>48</v>
      </c>
      <c r="V18" s="984">
        <v>57</v>
      </c>
      <c r="W18" s="202">
        <v>77</v>
      </c>
      <c r="X18" s="62">
        <v>72</v>
      </c>
      <c r="Y18" s="62">
        <v>97</v>
      </c>
      <c r="Z18" s="62">
        <v>92</v>
      </c>
      <c r="AA18" s="62">
        <v>74</v>
      </c>
      <c r="AB18" s="62">
        <v>72</v>
      </c>
      <c r="AC18" s="62">
        <v>84</v>
      </c>
      <c r="AD18" s="62">
        <v>98</v>
      </c>
      <c r="AE18" s="103"/>
      <c r="AF18" s="103"/>
      <c r="AG18" s="103"/>
    </row>
    <row r="19" spans="2:33" ht="15" customHeight="1" thickBot="1">
      <c r="B19" s="84" t="s">
        <v>329</v>
      </c>
      <c r="C19" s="1143">
        <v>3703</v>
      </c>
      <c r="D19" s="1140">
        <v>4139</v>
      </c>
      <c r="E19" s="59" t="s">
        <v>1779</v>
      </c>
      <c r="F19" s="46">
        <v>3015</v>
      </c>
      <c r="G19" s="46">
        <v>4345</v>
      </c>
      <c r="H19" s="46">
        <v>8118</v>
      </c>
      <c r="I19" s="46">
        <v>3448</v>
      </c>
      <c r="J19" s="46">
        <v>3873</v>
      </c>
      <c r="K19" s="46">
        <v>3366</v>
      </c>
      <c r="L19" s="46">
        <v>3548</v>
      </c>
      <c r="M19" s="46">
        <v>3653</v>
      </c>
      <c r="N19" s="121"/>
      <c r="O19" s="121"/>
      <c r="P19" s="121"/>
      <c r="Q19" s="152"/>
      <c r="R19" s="152"/>
      <c r="S19" s="34" t="s">
        <v>73</v>
      </c>
      <c r="T19" s="146">
        <v>178</v>
      </c>
      <c r="U19" s="984">
        <v>208</v>
      </c>
      <c r="V19" s="984">
        <v>180</v>
      </c>
      <c r="W19" s="202">
        <v>184</v>
      </c>
      <c r="X19" s="62">
        <v>203</v>
      </c>
      <c r="Y19" s="62">
        <v>189</v>
      </c>
      <c r="Z19" s="62">
        <v>187</v>
      </c>
      <c r="AA19" s="62">
        <v>192</v>
      </c>
      <c r="AB19" s="62">
        <v>241</v>
      </c>
      <c r="AC19" s="62">
        <v>216</v>
      </c>
      <c r="AD19" s="62">
        <v>206</v>
      </c>
      <c r="AE19" s="103"/>
      <c r="AF19" s="103"/>
      <c r="AG19" s="103"/>
    </row>
    <row r="20" spans="2:33" ht="15" customHeight="1" thickBot="1">
      <c r="B20" s="84" t="s">
        <v>148</v>
      </c>
      <c r="C20" s="1143">
        <v>1188</v>
      </c>
      <c r="D20" s="1140">
        <v>1269</v>
      </c>
      <c r="E20" s="59" t="s">
        <v>1780</v>
      </c>
      <c r="F20" s="46">
        <v>1451</v>
      </c>
      <c r="G20" s="46">
        <v>1431</v>
      </c>
      <c r="H20" s="46">
        <v>1497</v>
      </c>
      <c r="I20" s="46">
        <v>1558</v>
      </c>
      <c r="J20" s="46">
        <v>1656</v>
      </c>
      <c r="K20" s="46">
        <v>1950</v>
      </c>
      <c r="L20" s="46">
        <v>1889</v>
      </c>
      <c r="M20" s="46">
        <v>1840</v>
      </c>
      <c r="N20" s="121"/>
      <c r="O20" s="121"/>
      <c r="P20" s="121"/>
      <c r="Q20" s="152"/>
      <c r="R20" s="152"/>
      <c r="S20" s="34" t="s">
        <v>149</v>
      </c>
      <c r="T20" s="146">
        <v>5</v>
      </c>
      <c r="U20" s="984">
        <v>8</v>
      </c>
      <c r="V20" s="984">
        <v>9</v>
      </c>
      <c r="W20" s="202">
        <v>10</v>
      </c>
      <c r="X20" s="62">
        <v>10</v>
      </c>
      <c r="Y20" s="62">
        <v>9</v>
      </c>
      <c r="Z20" s="62">
        <v>8</v>
      </c>
      <c r="AA20" s="62">
        <v>11</v>
      </c>
      <c r="AB20" s="62">
        <v>17</v>
      </c>
      <c r="AC20" s="62">
        <v>14</v>
      </c>
      <c r="AD20" s="62">
        <v>14</v>
      </c>
      <c r="AE20" s="103"/>
      <c r="AF20" s="103"/>
      <c r="AG20" s="103"/>
    </row>
    <row r="21" spans="2:33" ht="15" customHeight="1" thickBot="1">
      <c r="B21" s="84" t="s">
        <v>150</v>
      </c>
      <c r="C21" s="1143">
        <v>1196</v>
      </c>
      <c r="D21" s="1140">
        <v>1146</v>
      </c>
      <c r="E21" s="59" t="s">
        <v>1781</v>
      </c>
      <c r="F21" s="46">
        <v>1270</v>
      </c>
      <c r="G21" s="46">
        <v>1263</v>
      </c>
      <c r="H21" s="46">
        <v>1317</v>
      </c>
      <c r="I21" s="46">
        <v>1278</v>
      </c>
      <c r="J21" s="46">
        <v>1225</v>
      </c>
      <c r="K21" s="46">
        <v>1401</v>
      </c>
      <c r="L21" s="46">
        <v>1300</v>
      </c>
      <c r="M21" s="46">
        <v>1353</v>
      </c>
      <c r="N21" s="121"/>
      <c r="O21" s="121"/>
      <c r="P21" s="121"/>
      <c r="Q21" s="152"/>
      <c r="R21" s="152"/>
      <c r="S21" s="35" t="s">
        <v>378</v>
      </c>
      <c r="T21" s="140">
        <v>271</v>
      </c>
      <c r="U21" s="202">
        <v>299</v>
      </c>
      <c r="V21" s="202">
        <v>288</v>
      </c>
      <c r="W21" s="202">
        <v>328</v>
      </c>
      <c r="X21" s="24">
        <v>334</v>
      </c>
      <c r="Y21" s="24">
        <v>331</v>
      </c>
      <c r="Z21" s="24">
        <v>341</v>
      </c>
      <c r="AA21" s="24">
        <v>352</v>
      </c>
      <c r="AB21" s="24">
        <v>380</v>
      </c>
      <c r="AC21" s="24">
        <v>384</v>
      </c>
      <c r="AD21" s="24">
        <v>382</v>
      </c>
      <c r="AE21" s="969"/>
      <c r="AF21" s="969"/>
      <c r="AG21" s="969"/>
    </row>
    <row r="22" spans="2:33" ht="15" customHeight="1" thickBot="1">
      <c r="B22" s="84" t="s">
        <v>115</v>
      </c>
      <c r="C22" s="1143">
        <v>1082</v>
      </c>
      <c r="D22" s="1140">
        <v>966</v>
      </c>
      <c r="E22" s="59" t="s">
        <v>1782</v>
      </c>
      <c r="F22" s="46">
        <v>1261</v>
      </c>
      <c r="G22" s="46">
        <v>1158</v>
      </c>
      <c r="H22" s="46">
        <v>1035</v>
      </c>
      <c r="I22" s="46">
        <v>1069</v>
      </c>
      <c r="J22" s="46">
        <v>1128</v>
      </c>
      <c r="K22" s="46">
        <v>742</v>
      </c>
      <c r="L22" s="46">
        <v>763</v>
      </c>
      <c r="M22" s="46">
        <v>884</v>
      </c>
      <c r="N22" s="121"/>
      <c r="O22" s="121"/>
      <c r="P22" s="121"/>
      <c r="Q22" s="152"/>
      <c r="R22" s="152"/>
      <c r="S22" s="209" t="s">
        <v>474</v>
      </c>
      <c r="T22" s="1100">
        <v>60</v>
      </c>
      <c r="U22" s="1211">
        <v>61</v>
      </c>
      <c r="V22" s="1211">
        <v>72</v>
      </c>
      <c r="W22" s="1101">
        <v>70</v>
      </c>
      <c r="X22" s="105">
        <v>88</v>
      </c>
      <c r="Y22" s="105">
        <v>82</v>
      </c>
      <c r="Z22" s="105">
        <v>93</v>
      </c>
      <c r="AA22" s="105">
        <v>106</v>
      </c>
      <c r="AB22" s="105">
        <v>104</v>
      </c>
      <c r="AC22" s="105">
        <v>111</v>
      </c>
      <c r="AD22" s="105">
        <v>115</v>
      </c>
      <c r="AE22" s="103"/>
      <c r="AF22" s="103"/>
      <c r="AG22" s="103"/>
    </row>
    <row r="23" spans="2:33" ht="15" customHeight="1" thickBot="1">
      <c r="B23" s="84" t="s">
        <v>153</v>
      </c>
      <c r="C23" s="1143">
        <v>351</v>
      </c>
      <c r="D23" s="1140">
        <v>330</v>
      </c>
      <c r="E23" s="59">
        <v>326</v>
      </c>
      <c r="F23" s="46">
        <v>367</v>
      </c>
      <c r="G23" s="46">
        <v>408</v>
      </c>
      <c r="H23" s="46">
        <v>422</v>
      </c>
      <c r="I23" s="46">
        <v>438</v>
      </c>
      <c r="J23" s="46">
        <v>569</v>
      </c>
      <c r="K23" s="46">
        <v>423</v>
      </c>
      <c r="L23" s="46">
        <v>408</v>
      </c>
      <c r="M23" s="46">
        <v>622</v>
      </c>
      <c r="N23" s="121"/>
      <c r="O23" s="121"/>
      <c r="P23" s="121"/>
      <c r="Q23" s="152"/>
      <c r="R23" s="152"/>
      <c r="S23" s="210" t="s">
        <v>151</v>
      </c>
      <c r="T23" s="1212">
        <v>56</v>
      </c>
      <c r="U23" s="1101">
        <v>41</v>
      </c>
      <c r="V23" s="1101">
        <v>26</v>
      </c>
      <c r="W23" s="1101">
        <v>39</v>
      </c>
      <c r="X23" s="211">
        <v>24</v>
      </c>
      <c r="Y23" s="211">
        <v>28</v>
      </c>
      <c r="Z23" s="211">
        <v>34</v>
      </c>
      <c r="AA23" s="211">
        <v>93</v>
      </c>
      <c r="AB23" s="211">
        <v>90</v>
      </c>
      <c r="AC23" s="211">
        <v>91</v>
      </c>
      <c r="AD23" s="211">
        <v>32</v>
      </c>
      <c r="AE23" s="969"/>
      <c r="AF23" s="969"/>
      <c r="AG23" s="969"/>
    </row>
    <row r="24" spans="2:33" ht="15" customHeight="1" thickBot="1">
      <c r="B24" s="84" t="s">
        <v>154</v>
      </c>
      <c r="C24" s="1143">
        <v>124</v>
      </c>
      <c r="D24" s="1140">
        <v>174</v>
      </c>
      <c r="E24" s="59">
        <v>170</v>
      </c>
      <c r="F24" s="46">
        <v>171</v>
      </c>
      <c r="G24" s="46">
        <v>209</v>
      </c>
      <c r="H24" s="46">
        <v>228</v>
      </c>
      <c r="I24" s="46">
        <v>308</v>
      </c>
      <c r="J24" s="46">
        <v>317</v>
      </c>
      <c r="K24" s="46">
        <v>275</v>
      </c>
      <c r="L24" s="46">
        <v>281</v>
      </c>
      <c r="M24" s="46">
        <v>321</v>
      </c>
      <c r="N24" s="121"/>
      <c r="O24" s="121"/>
      <c r="P24" s="121"/>
      <c r="Q24" s="152"/>
      <c r="R24" s="152"/>
      <c r="S24" s="209" t="s">
        <v>474</v>
      </c>
      <c r="T24" s="1100">
        <v>76</v>
      </c>
      <c r="U24" s="1211">
        <v>61</v>
      </c>
      <c r="V24" s="1211">
        <v>50</v>
      </c>
      <c r="W24" s="1101">
        <v>37</v>
      </c>
      <c r="X24" s="105">
        <v>26</v>
      </c>
      <c r="Y24" s="105">
        <v>10</v>
      </c>
      <c r="Z24" s="105">
        <v>62</v>
      </c>
      <c r="AA24" s="105">
        <v>73</v>
      </c>
      <c r="AB24" s="105">
        <v>85</v>
      </c>
      <c r="AC24" s="105">
        <v>74</v>
      </c>
      <c r="AD24" s="105">
        <v>80</v>
      </c>
      <c r="AE24" s="103"/>
      <c r="AF24" s="103"/>
      <c r="AG24" s="103"/>
    </row>
    <row r="25" spans="2:33" ht="15" customHeight="1" thickBot="1">
      <c r="B25" s="84" t="s">
        <v>202</v>
      </c>
      <c r="C25" s="1143">
        <v>255</v>
      </c>
      <c r="D25" s="1140">
        <v>237</v>
      </c>
      <c r="E25" s="59">
        <v>225</v>
      </c>
      <c r="F25" s="46">
        <v>280</v>
      </c>
      <c r="G25" s="46">
        <v>257</v>
      </c>
      <c r="H25" s="46">
        <v>296</v>
      </c>
      <c r="I25" s="46">
        <v>278</v>
      </c>
      <c r="J25" s="46">
        <v>329</v>
      </c>
      <c r="K25" s="46">
        <v>366</v>
      </c>
      <c r="L25" s="46">
        <v>312</v>
      </c>
      <c r="M25" s="46">
        <v>288</v>
      </c>
      <c r="N25" s="121"/>
      <c r="O25" s="121"/>
      <c r="P25" s="121"/>
      <c r="Q25" s="152"/>
      <c r="R25" s="152"/>
      <c r="S25" s="41" t="s">
        <v>2039</v>
      </c>
      <c r="T25" s="1050"/>
    </row>
    <row r="26" spans="2:33" ht="15" customHeight="1" thickBot="1">
      <c r="B26" s="84" t="s">
        <v>469</v>
      </c>
      <c r="C26" s="1143">
        <v>16</v>
      </c>
      <c r="D26" s="1140">
        <v>28</v>
      </c>
      <c r="E26" s="59">
        <v>37</v>
      </c>
      <c r="F26" s="46">
        <v>65</v>
      </c>
      <c r="G26" s="46">
        <v>92</v>
      </c>
      <c r="H26" s="46">
        <v>100</v>
      </c>
      <c r="I26" s="46">
        <v>81</v>
      </c>
      <c r="J26" s="46">
        <v>121</v>
      </c>
      <c r="K26" s="46">
        <v>129</v>
      </c>
      <c r="L26" s="46">
        <v>151</v>
      </c>
      <c r="M26" s="46">
        <v>83</v>
      </c>
      <c r="N26" s="121"/>
      <c r="O26" s="121"/>
      <c r="P26" s="121"/>
      <c r="Q26" s="152"/>
      <c r="R26" s="152"/>
      <c r="S26"/>
      <c r="T26" s="464"/>
    </row>
    <row r="27" spans="2:33" ht="15" customHeight="1" thickBot="1">
      <c r="B27" s="84" t="s">
        <v>116</v>
      </c>
      <c r="C27" s="1145" t="s">
        <v>59</v>
      </c>
      <c r="D27" s="1168" t="s">
        <v>59</v>
      </c>
      <c r="E27" s="59" t="s">
        <v>1783</v>
      </c>
      <c r="F27" s="46" t="s">
        <v>59</v>
      </c>
      <c r="G27" s="46" t="s">
        <v>59</v>
      </c>
      <c r="H27" s="46" t="s">
        <v>59</v>
      </c>
      <c r="I27" s="46" t="s">
        <v>59</v>
      </c>
      <c r="J27" s="46">
        <v>1</v>
      </c>
      <c r="K27" s="46">
        <v>5</v>
      </c>
      <c r="L27" s="46">
        <v>4</v>
      </c>
      <c r="M27" s="46">
        <v>34</v>
      </c>
      <c r="N27" s="121"/>
      <c r="O27" s="121"/>
      <c r="P27" s="121"/>
      <c r="Q27" s="152"/>
      <c r="R27" s="152"/>
      <c r="S27"/>
      <c r="T27" s="464"/>
    </row>
    <row r="28" spans="2:33" ht="15" customHeight="1" thickBot="1">
      <c r="B28" s="84" t="s">
        <v>60</v>
      </c>
      <c r="C28" s="1143">
        <v>122</v>
      </c>
      <c r="D28" s="1140">
        <v>133</v>
      </c>
      <c r="E28" s="59">
        <v>180</v>
      </c>
      <c r="F28" s="46">
        <v>183</v>
      </c>
      <c r="G28" s="46">
        <v>170</v>
      </c>
      <c r="H28" s="46">
        <v>186</v>
      </c>
      <c r="I28" s="46">
        <v>175</v>
      </c>
      <c r="J28" s="46">
        <v>187</v>
      </c>
      <c r="K28" s="46">
        <v>189</v>
      </c>
      <c r="L28" s="46">
        <v>180</v>
      </c>
      <c r="M28" s="46">
        <v>207</v>
      </c>
      <c r="N28" s="121"/>
      <c r="O28" s="121"/>
      <c r="P28" s="121"/>
      <c r="Q28" s="152"/>
      <c r="R28" s="152"/>
      <c r="S28" s="83"/>
      <c r="T28" s="1048"/>
      <c r="U28" s="83"/>
      <c r="V28" s="83"/>
      <c r="W28" s="83"/>
      <c r="X28" s="83"/>
      <c r="Y28" s="83"/>
      <c r="Z28" s="83"/>
      <c r="AA28" s="83"/>
      <c r="AB28" s="83"/>
      <c r="AC28" s="83"/>
    </row>
    <row r="29" spans="2:33" ht="15" customHeight="1" thickBot="1">
      <c r="B29" s="84" t="s">
        <v>152</v>
      </c>
      <c r="C29" s="1143">
        <v>573</v>
      </c>
      <c r="D29" s="1140">
        <v>494</v>
      </c>
      <c r="E29" s="59">
        <v>411</v>
      </c>
      <c r="F29" s="46">
        <v>487</v>
      </c>
      <c r="G29" s="46">
        <v>475</v>
      </c>
      <c r="H29" s="46">
        <v>421</v>
      </c>
      <c r="I29" s="46">
        <v>567</v>
      </c>
      <c r="J29" s="46">
        <v>522</v>
      </c>
      <c r="K29" s="46">
        <v>147</v>
      </c>
      <c r="L29" s="46">
        <v>184</v>
      </c>
      <c r="M29" s="46">
        <v>204</v>
      </c>
      <c r="N29" s="121"/>
      <c r="O29" s="121"/>
      <c r="P29" s="121"/>
      <c r="Q29" s="152"/>
      <c r="R29" s="152"/>
      <c r="S29" s="83"/>
      <c r="T29" s="1048"/>
      <c r="U29" s="83"/>
      <c r="V29" s="83"/>
      <c r="W29" s="83"/>
      <c r="X29" s="83"/>
      <c r="Y29" s="83"/>
      <c r="Z29" s="83"/>
      <c r="AA29" s="83"/>
      <c r="AB29" s="83"/>
      <c r="AC29" s="83"/>
    </row>
    <row r="30" spans="2:33" ht="15" customHeight="1" thickBot="1">
      <c r="B30" s="84" t="s">
        <v>470</v>
      </c>
      <c r="C30" s="1145">
        <v>16</v>
      </c>
      <c r="D30" s="1168">
        <v>28</v>
      </c>
      <c r="E30" s="59">
        <v>37</v>
      </c>
      <c r="F30" s="46">
        <v>65</v>
      </c>
      <c r="G30" s="46">
        <v>92</v>
      </c>
      <c r="H30" s="46">
        <v>100</v>
      </c>
      <c r="I30" s="46">
        <v>81</v>
      </c>
      <c r="J30" s="46">
        <v>121</v>
      </c>
      <c r="K30" s="46">
        <v>129</v>
      </c>
      <c r="L30" s="46">
        <v>151</v>
      </c>
      <c r="M30" s="46">
        <v>182</v>
      </c>
      <c r="N30" s="121"/>
      <c r="O30" s="121"/>
      <c r="P30" s="121"/>
      <c r="Q30" s="152"/>
      <c r="R30" s="152"/>
      <c r="S30"/>
      <c r="T30" s="464"/>
    </row>
    <row r="31" spans="2:33" ht="15" customHeight="1" thickBot="1">
      <c r="B31" s="84" t="s">
        <v>155</v>
      </c>
      <c r="C31" s="1143">
        <v>443</v>
      </c>
      <c r="D31" s="1140">
        <v>889</v>
      </c>
      <c r="E31" s="59">
        <v>503</v>
      </c>
      <c r="F31" s="46">
        <v>745</v>
      </c>
      <c r="G31" s="46">
        <v>753</v>
      </c>
      <c r="H31" s="46">
        <v>701</v>
      </c>
      <c r="I31" s="46">
        <v>601</v>
      </c>
      <c r="J31" s="46">
        <v>669</v>
      </c>
      <c r="K31" s="46">
        <v>540</v>
      </c>
      <c r="L31" s="46">
        <v>346</v>
      </c>
      <c r="M31" s="46">
        <v>862</v>
      </c>
      <c r="N31" s="121"/>
      <c r="O31" s="121"/>
      <c r="P31" s="121"/>
      <c r="Q31" s="152"/>
      <c r="R31" s="152"/>
      <c r="S31" s="83"/>
      <c r="T31" s="1048"/>
      <c r="U31" s="83"/>
      <c r="V31" s="83"/>
      <c r="W31" s="83"/>
      <c r="X31" s="83"/>
      <c r="Y31" s="83"/>
      <c r="Z31" s="83"/>
      <c r="AA31" s="83"/>
      <c r="AB31" s="83"/>
      <c r="AC31" s="83"/>
    </row>
    <row r="32" spans="2:33" ht="15" customHeight="1" thickBot="1">
      <c r="B32" s="61" t="s">
        <v>156</v>
      </c>
      <c r="C32" s="1144">
        <v>502</v>
      </c>
      <c r="D32" s="1207">
        <v>615</v>
      </c>
      <c r="E32" s="60">
        <v>669</v>
      </c>
      <c r="F32" s="45">
        <v>634</v>
      </c>
      <c r="G32" s="45">
        <v>464</v>
      </c>
      <c r="H32" s="45">
        <v>321</v>
      </c>
      <c r="I32" s="45">
        <v>243</v>
      </c>
      <c r="J32" s="45">
        <v>324</v>
      </c>
      <c r="K32" s="45">
        <v>312</v>
      </c>
      <c r="L32" s="45">
        <v>347</v>
      </c>
      <c r="M32" s="45">
        <v>299</v>
      </c>
      <c r="N32" s="122"/>
      <c r="O32" s="122"/>
      <c r="P32" s="122"/>
      <c r="Q32" s="20"/>
      <c r="R32" s="83"/>
      <c r="S32"/>
      <c r="T32" s="464"/>
    </row>
    <row r="33" spans="2:29" ht="15" customHeight="1" thickBot="1">
      <c r="B33" s="61" t="s">
        <v>64</v>
      </c>
      <c r="C33" s="1144">
        <v>31145</v>
      </c>
      <c r="D33" s="1207">
        <v>30586</v>
      </c>
      <c r="E33" s="60">
        <v>36132</v>
      </c>
      <c r="F33" s="45">
        <v>35623</v>
      </c>
      <c r="G33" s="45">
        <v>40982</v>
      </c>
      <c r="H33" s="45">
        <v>39567</v>
      </c>
      <c r="I33" s="45">
        <v>33705</v>
      </c>
      <c r="J33" s="45">
        <v>35998</v>
      </c>
      <c r="K33" s="45">
        <v>37944</v>
      </c>
      <c r="L33" s="45">
        <v>36557</v>
      </c>
      <c r="M33" s="45">
        <v>38853</v>
      </c>
      <c r="N33" s="122"/>
      <c r="O33" s="122"/>
      <c r="P33" s="122"/>
      <c r="Q33" s="20"/>
      <c r="R33" s="83"/>
      <c r="S33" s="83"/>
      <c r="T33" s="1048"/>
      <c r="U33" s="83"/>
      <c r="V33" s="83"/>
      <c r="W33" s="83"/>
      <c r="X33" s="83"/>
      <c r="Y33" s="83"/>
      <c r="Z33" s="83"/>
      <c r="AA33" s="83"/>
      <c r="AB33" s="83"/>
      <c r="AC33" s="83"/>
    </row>
    <row r="34" spans="2:29" ht="15" customHeight="1" thickBot="1">
      <c r="B34" s="84" t="s">
        <v>157</v>
      </c>
      <c r="C34" s="1143">
        <v>7101</v>
      </c>
      <c r="D34" s="1140">
        <v>7097</v>
      </c>
      <c r="E34" s="59">
        <v>9198</v>
      </c>
      <c r="F34" s="46">
        <v>9431</v>
      </c>
      <c r="G34" s="46">
        <v>8675</v>
      </c>
      <c r="H34" s="46">
        <v>9954</v>
      </c>
      <c r="I34" s="46">
        <v>9141</v>
      </c>
      <c r="J34" s="46">
        <v>10029</v>
      </c>
      <c r="K34" s="46">
        <v>10487</v>
      </c>
      <c r="L34" s="46">
        <v>9800</v>
      </c>
      <c r="M34" s="46">
        <v>10707</v>
      </c>
      <c r="N34" s="121"/>
      <c r="O34" s="121"/>
      <c r="P34" s="121"/>
      <c r="Q34" s="152"/>
      <c r="R34" s="83"/>
      <c r="S34"/>
      <c r="T34" s="464"/>
    </row>
    <row r="35" spans="2:29" ht="15" customHeight="1" thickBot="1">
      <c r="B35" s="84" t="s">
        <v>160</v>
      </c>
      <c r="C35" s="1143">
        <v>3981</v>
      </c>
      <c r="D35" s="1140">
        <v>3835</v>
      </c>
      <c r="E35" s="59">
        <v>4417</v>
      </c>
      <c r="F35" s="46">
        <v>4341</v>
      </c>
      <c r="G35" s="46">
        <v>5461</v>
      </c>
      <c r="H35" s="46">
        <v>4143</v>
      </c>
      <c r="I35" s="46">
        <v>3971</v>
      </c>
      <c r="J35" s="46">
        <v>3965</v>
      </c>
      <c r="K35" s="46">
        <v>4063</v>
      </c>
      <c r="L35" s="46">
        <v>4194</v>
      </c>
      <c r="M35" s="46">
        <v>4315</v>
      </c>
      <c r="N35" s="121"/>
      <c r="O35" s="121"/>
      <c r="P35" s="121"/>
      <c r="Q35" s="152"/>
      <c r="R35" s="83"/>
      <c r="S35"/>
      <c r="T35" s="464"/>
    </row>
    <row r="36" spans="2:29" ht="15" customHeight="1" thickBot="1">
      <c r="B36" s="84" t="s">
        <v>159</v>
      </c>
      <c r="C36" s="1143">
        <v>3016</v>
      </c>
      <c r="D36" s="1140">
        <v>2876</v>
      </c>
      <c r="E36" s="59">
        <v>3300</v>
      </c>
      <c r="F36" s="46">
        <v>3461</v>
      </c>
      <c r="G36" s="46">
        <v>4056</v>
      </c>
      <c r="H36" s="46">
        <v>3833</v>
      </c>
      <c r="I36" s="46">
        <v>3914</v>
      </c>
      <c r="J36" s="46">
        <v>3991</v>
      </c>
      <c r="K36" s="46">
        <v>4318</v>
      </c>
      <c r="L36" s="46">
        <v>4479</v>
      </c>
      <c r="M36" s="46">
        <v>4728</v>
      </c>
      <c r="N36" s="121"/>
      <c r="O36" s="121"/>
      <c r="P36" s="121"/>
      <c r="Q36" s="152"/>
      <c r="R36" s="83"/>
      <c r="S36" s="83"/>
      <c r="T36" s="1048"/>
      <c r="U36" s="83"/>
      <c r="V36" s="83"/>
      <c r="W36" s="83"/>
      <c r="X36" s="83"/>
      <c r="Y36" s="83"/>
      <c r="Z36" s="83"/>
      <c r="AA36" s="83"/>
      <c r="AB36" s="83"/>
      <c r="AC36" s="83"/>
    </row>
    <row r="37" spans="2:29" ht="15" customHeight="1" thickBot="1">
      <c r="B37" s="84" t="s">
        <v>162</v>
      </c>
      <c r="C37" s="1143">
        <v>2436</v>
      </c>
      <c r="D37" s="1140">
        <v>2503</v>
      </c>
      <c r="E37" s="59">
        <v>2800</v>
      </c>
      <c r="F37" s="46">
        <v>2885</v>
      </c>
      <c r="G37" s="46">
        <v>3958</v>
      </c>
      <c r="H37" s="46">
        <v>2798</v>
      </c>
      <c r="I37" s="46">
        <v>2644</v>
      </c>
      <c r="J37" s="46">
        <v>3000</v>
      </c>
      <c r="K37" s="46">
        <v>2850</v>
      </c>
      <c r="L37" s="46">
        <v>2672</v>
      </c>
      <c r="M37" s="46">
        <v>3015</v>
      </c>
      <c r="N37" s="121"/>
      <c r="O37" s="121"/>
      <c r="P37" s="121"/>
      <c r="Q37" s="152"/>
      <c r="R37" s="83"/>
      <c r="S37"/>
      <c r="T37" s="464"/>
    </row>
    <row r="38" spans="2:29" ht="15" hidden="1" customHeight="1" thickBot="1">
      <c r="B38" s="84" t="s">
        <v>397</v>
      </c>
      <c r="C38" s="1143"/>
      <c r="D38" s="1140"/>
      <c r="E38" s="59"/>
      <c r="F38" s="46"/>
      <c r="G38" s="46"/>
      <c r="H38" s="46">
        <v>1875</v>
      </c>
      <c r="I38" s="46">
        <v>1746</v>
      </c>
      <c r="J38" s="46">
        <v>1964</v>
      </c>
      <c r="K38" s="46">
        <v>2090</v>
      </c>
      <c r="L38" s="46">
        <v>1861</v>
      </c>
      <c r="M38" s="46">
        <v>1948</v>
      </c>
      <c r="N38" s="121"/>
      <c r="O38" s="121"/>
      <c r="P38" s="121"/>
      <c r="Q38" s="152"/>
      <c r="R38" s="83"/>
      <c r="S38"/>
      <c r="T38" s="464"/>
    </row>
    <row r="39" spans="2:29" ht="15" customHeight="1" thickBot="1">
      <c r="B39" s="84" t="s">
        <v>161</v>
      </c>
      <c r="C39" s="1143">
        <v>1244</v>
      </c>
      <c r="D39" s="1140">
        <v>1296</v>
      </c>
      <c r="E39" s="59">
        <v>1683</v>
      </c>
      <c r="F39" s="46">
        <v>1672</v>
      </c>
      <c r="G39" s="46">
        <v>2542</v>
      </c>
      <c r="H39" s="46">
        <v>1736</v>
      </c>
      <c r="I39" s="46">
        <v>1846</v>
      </c>
      <c r="J39" s="46">
        <v>2026</v>
      </c>
      <c r="K39" s="46">
        <v>2028</v>
      </c>
      <c r="L39" s="46">
        <v>2009</v>
      </c>
      <c r="M39" s="46">
        <v>2339</v>
      </c>
      <c r="N39" s="121"/>
      <c r="O39" s="121"/>
      <c r="P39" s="121"/>
      <c r="Q39" s="152"/>
      <c r="R39" s="83"/>
      <c r="S39" s="83"/>
      <c r="T39" s="1048"/>
      <c r="U39" s="83"/>
      <c r="V39" s="83"/>
      <c r="W39" s="83"/>
      <c r="X39" s="83"/>
      <c r="Y39" s="83"/>
      <c r="Z39" s="83"/>
      <c r="AA39" s="83"/>
      <c r="AB39" s="83"/>
      <c r="AC39" s="83"/>
    </row>
    <row r="40" spans="2:29" ht="15" customHeight="1" thickBot="1">
      <c r="B40" s="84" t="s">
        <v>396</v>
      </c>
      <c r="C40" s="1143">
        <v>793</v>
      </c>
      <c r="D40" s="1140">
        <v>832</v>
      </c>
      <c r="E40" s="59">
        <v>1011</v>
      </c>
      <c r="F40" s="46">
        <v>1060</v>
      </c>
      <c r="G40" s="46">
        <v>1899</v>
      </c>
      <c r="H40" s="46">
        <v>1156</v>
      </c>
      <c r="I40" s="46">
        <v>1155</v>
      </c>
      <c r="J40" s="46">
        <v>1277</v>
      </c>
      <c r="K40" s="46">
        <v>1301</v>
      </c>
      <c r="L40" s="46">
        <v>1396</v>
      </c>
      <c r="M40" s="46">
        <v>1449</v>
      </c>
      <c r="N40" s="121"/>
      <c r="O40" s="121"/>
      <c r="P40" s="121"/>
      <c r="Q40" s="152"/>
      <c r="R40" s="83"/>
      <c r="S40"/>
      <c r="T40" s="464"/>
    </row>
    <row r="41" spans="2:29" ht="15" customHeight="1" thickBot="1">
      <c r="B41" s="84" t="s">
        <v>395</v>
      </c>
      <c r="C41" s="1143">
        <v>750</v>
      </c>
      <c r="D41" s="1140">
        <v>849</v>
      </c>
      <c r="E41" s="59">
        <v>956</v>
      </c>
      <c r="F41" s="46">
        <v>918</v>
      </c>
      <c r="G41" s="46">
        <v>1800</v>
      </c>
      <c r="H41" s="46">
        <v>998</v>
      </c>
      <c r="I41" s="46">
        <v>1235</v>
      </c>
      <c r="J41" s="46">
        <v>1147</v>
      </c>
      <c r="K41" s="46">
        <v>1165</v>
      </c>
      <c r="L41" s="46">
        <v>1168</v>
      </c>
      <c r="M41" s="46">
        <v>1147</v>
      </c>
      <c r="N41" s="121"/>
      <c r="O41" s="121"/>
      <c r="P41" s="121"/>
      <c r="Q41" s="152"/>
      <c r="R41" s="83"/>
      <c r="S41"/>
      <c r="T41" s="464"/>
    </row>
    <row r="42" spans="2:29" ht="15" customHeight="1" thickBot="1">
      <c r="B42" s="84" t="s">
        <v>163</v>
      </c>
      <c r="C42" s="1143">
        <v>6122</v>
      </c>
      <c r="D42" s="1140">
        <v>5364</v>
      </c>
      <c r="E42" s="59" t="s">
        <v>1784</v>
      </c>
      <c r="F42" s="46">
        <v>11855</v>
      </c>
      <c r="G42" s="46">
        <v>12591</v>
      </c>
      <c r="H42" s="46">
        <v>13074</v>
      </c>
      <c r="I42" s="46">
        <v>8053</v>
      </c>
      <c r="J42" s="46">
        <v>8599</v>
      </c>
      <c r="K42" s="46">
        <v>9642</v>
      </c>
      <c r="L42" s="46">
        <v>8978</v>
      </c>
      <c r="M42" s="46">
        <v>9205</v>
      </c>
      <c r="N42" s="121"/>
      <c r="O42" s="121"/>
      <c r="P42" s="121"/>
      <c r="Q42" s="152"/>
      <c r="R42" s="83"/>
      <c r="S42" s="83"/>
      <c r="T42" s="1048"/>
      <c r="U42" s="83"/>
      <c r="V42" s="83"/>
      <c r="W42" s="83"/>
      <c r="X42" s="83"/>
      <c r="Y42" s="83"/>
      <c r="Z42" s="83"/>
      <c r="AA42" s="83"/>
      <c r="AB42" s="83"/>
      <c r="AC42" s="83"/>
    </row>
    <row r="43" spans="2:29" ht="23.25" customHeight="1" thickBot="1">
      <c r="B43" s="61" t="s">
        <v>164</v>
      </c>
      <c r="C43" s="1144">
        <v>2077</v>
      </c>
      <c r="D43" s="1207">
        <v>2119</v>
      </c>
      <c r="E43" s="60" t="s">
        <v>1785</v>
      </c>
      <c r="F43" s="1099">
        <v>2357</v>
      </c>
      <c r="G43" s="45">
        <v>2206</v>
      </c>
      <c r="H43" s="45">
        <v>2125</v>
      </c>
      <c r="I43" s="45">
        <v>2035</v>
      </c>
      <c r="J43" s="186">
        <v>2307</v>
      </c>
      <c r="K43" s="186">
        <v>2225</v>
      </c>
      <c r="L43" s="186">
        <v>2172</v>
      </c>
      <c r="M43" s="186">
        <v>2239</v>
      </c>
      <c r="N43" s="122"/>
      <c r="O43" s="122"/>
      <c r="P43" s="207"/>
      <c r="Q43" s="20"/>
      <c r="R43" s="207"/>
      <c r="S43"/>
      <c r="T43" s="464"/>
    </row>
    <row r="44" spans="2:29" ht="14.25" customHeight="1">
      <c r="B44" s="41" t="s">
        <v>2038</v>
      </c>
      <c r="C44" s="1052"/>
      <c r="K44" s="16"/>
    </row>
    <row r="45" spans="2:29">
      <c r="B45" s="87" t="s">
        <v>1676</v>
      </c>
      <c r="C45" s="1052"/>
    </row>
    <row r="46" spans="2:29"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26"/>
      <c r="P46" s="25"/>
      <c r="Q46" s="25"/>
      <c r="R46" s="25"/>
      <c r="S46" s="29"/>
    </row>
    <row r="47" spans="2:29">
      <c r="M47" s="27"/>
      <c r="N47" s="26"/>
      <c r="O47" s="26"/>
      <c r="P47" s="25"/>
      <c r="Q47" s="25"/>
      <c r="R47" s="25"/>
      <c r="S47" s="29"/>
    </row>
    <row r="48" spans="2:29">
      <c r="M48" s="28"/>
      <c r="N48" s="26"/>
      <c r="O48" s="26"/>
      <c r="P48" s="25"/>
      <c r="Q48" s="25"/>
      <c r="R48" s="25"/>
      <c r="S48" s="29"/>
    </row>
    <row r="49" spans="2:20" ht="15.6">
      <c r="B49" s="83" t="s">
        <v>106</v>
      </c>
      <c r="C49" s="1048"/>
      <c r="O49" s="26"/>
      <c r="P49" s="25"/>
      <c r="Q49" s="25"/>
      <c r="R49" s="25"/>
      <c r="S49" s="29"/>
    </row>
    <row r="50" spans="2:20">
      <c r="B50" s="93" t="s">
        <v>77</v>
      </c>
      <c r="C50" s="1049"/>
      <c r="O50" s="26"/>
      <c r="P50" s="25"/>
      <c r="Q50" s="25"/>
      <c r="R50" s="25"/>
      <c r="S50" s="29"/>
    </row>
    <row r="51" spans="2:20">
      <c r="B51" s="194"/>
      <c r="C51" s="115">
        <v>2024</v>
      </c>
      <c r="D51" s="115">
        <v>2023</v>
      </c>
      <c r="E51" s="115">
        <v>2022</v>
      </c>
      <c r="F51" s="115">
        <v>2021</v>
      </c>
      <c r="G51" s="115">
        <v>2020</v>
      </c>
      <c r="H51" s="115">
        <v>2019</v>
      </c>
      <c r="I51" s="115">
        <v>2018</v>
      </c>
      <c r="J51" s="115">
        <v>2017</v>
      </c>
      <c r="K51" s="115">
        <v>2016</v>
      </c>
      <c r="L51" s="115">
        <v>2015</v>
      </c>
      <c r="M51" s="115">
        <v>2014</v>
      </c>
      <c r="N51" s="94"/>
      <c r="O51" s="94"/>
      <c r="P51" s="26"/>
      <c r="Q51" s="25"/>
      <c r="R51" s="25"/>
      <c r="S51" s="25"/>
      <c r="T51" s="29"/>
    </row>
    <row r="52" spans="2:20" ht="15" thickBot="1">
      <c r="B52" s="61" t="s">
        <v>335</v>
      </c>
      <c r="C52" s="942"/>
      <c r="D52" s="61"/>
      <c r="E52" s="60"/>
      <c r="F52" s="59"/>
      <c r="G52" s="59"/>
      <c r="H52" s="59"/>
      <c r="I52" s="59"/>
      <c r="J52" s="59"/>
      <c r="K52" s="59"/>
      <c r="L52" s="59"/>
      <c r="M52" s="59"/>
      <c r="N52" s="102"/>
      <c r="O52" s="102"/>
      <c r="P52" s="31"/>
      <c r="Q52" s="25"/>
      <c r="R52" s="25"/>
      <c r="S52" s="25"/>
      <c r="T52" s="29"/>
    </row>
    <row r="53" spans="2:20" ht="15" thickBot="1">
      <c r="B53" s="95" t="s">
        <v>42</v>
      </c>
      <c r="C53" s="1200">
        <v>372</v>
      </c>
      <c r="D53" s="95">
        <v>376</v>
      </c>
      <c r="E53" s="59">
        <v>405</v>
      </c>
      <c r="F53" s="59">
        <v>419</v>
      </c>
      <c r="G53" s="59">
        <v>434</v>
      </c>
      <c r="H53" s="59">
        <v>459</v>
      </c>
      <c r="I53" s="59">
        <v>467</v>
      </c>
      <c r="J53" s="59">
        <v>499</v>
      </c>
      <c r="K53" s="59">
        <v>526</v>
      </c>
      <c r="L53" s="59">
        <v>529</v>
      </c>
      <c r="M53" s="59">
        <v>557</v>
      </c>
      <c r="N53" s="102"/>
      <c r="O53" s="102"/>
      <c r="P53" s="26"/>
      <c r="Q53" s="25"/>
      <c r="R53" s="25"/>
      <c r="S53" s="25"/>
      <c r="T53" s="29"/>
    </row>
    <row r="54" spans="2:20" ht="15.75" customHeight="1" thickBot="1">
      <c r="B54" s="84" t="s">
        <v>165</v>
      </c>
      <c r="C54" s="1200">
        <v>44</v>
      </c>
      <c r="D54" s="95">
        <v>43</v>
      </c>
      <c r="E54" s="59">
        <v>41</v>
      </c>
      <c r="F54" s="59">
        <v>46</v>
      </c>
      <c r="G54" s="59">
        <v>43</v>
      </c>
      <c r="H54" s="59">
        <v>50</v>
      </c>
      <c r="I54" s="59">
        <v>53</v>
      </c>
      <c r="J54" s="59" t="s">
        <v>59</v>
      </c>
      <c r="K54" s="59">
        <v>53</v>
      </c>
      <c r="L54" s="59">
        <v>47</v>
      </c>
      <c r="M54" s="59">
        <v>57</v>
      </c>
      <c r="N54" s="102"/>
      <c r="O54" s="102"/>
      <c r="P54" s="32"/>
      <c r="Q54" s="33"/>
      <c r="R54" s="33"/>
      <c r="S54" s="29"/>
      <c r="T54" s="29"/>
    </row>
    <row r="55" spans="2:20" ht="15" thickBot="1">
      <c r="B55" s="84" t="s">
        <v>166</v>
      </c>
      <c r="C55" s="1200">
        <v>59</v>
      </c>
      <c r="D55" s="95">
        <v>66</v>
      </c>
      <c r="E55" s="59">
        <v>72</v>
      </c>
      <c r="F55" s="59">
        <v>75</v>
      </c>
      <c r="G55" s="59">
        <v>85</v>
      </c>
      <c r="H55" s="59">
        <v>87</v>
      </c>
      <c r="I55" s="59">
        <v>85</v>
      </c>
      <c r="J55" s="59">
        <v>88</v>
      </c>
      <c r="K55" s="59">
        <v>99</v>
      </c>
      <c r="L55" s="59">
        <v>112</v>
      </c>
      <c r="M55" s="59">
        <v>128</v>
      </c>
      <c r="N55" s="102"/>
      <c r="O55" s="102"/>
      <c r="P55" s="28"/>
      <c r="Q55" s="30"/>
      <c r="R55" s="30"/>
      <c r="S55" s="29"/>
      <c r="T55" s="29"/>
    </row>
    <row r="56" spans="2:20" ht="15" thickBot="1">
      <c r="B56" s="84" t="s">
        <v>167</v>
      </c>
      <c r="C56" s="1200">
        <v>187</v>
      </c>
      <c r="D56" s="95">
        <v>187</v>
      </c>
      <c r="E56" s="59">
        <v>196</v>
      </c>
      <c r="F56" s="59">
        <v>186</v>
      </c>
      <c r="G56" s="59">
        <v>203</v>
      </c>
      <c r="H56" s="59">
        <v>198</v>
      </c>
      <c r="I56" s="59">
        <v>193</v>
      </c>
      <c r="J56" s="59">
        <v>221</v>
      </c>
      <c r="K56" s="59">
        <v>243</v>
      </c>
      <c r="L56" s="59">
        <v>245</v>
      </c>
      <c r="M56" s="59">
        <v>284</v>
      </c>
      <c r="N56" s="102"/>
      <c r="O56" s="102"/>
      <c r="S56"/>
      <c r="T56" s="464"/>
    </row>
    <row r="57" spans="2:20" ht="15" thickBot="1">
      <c r="B57" s="84" t="s">
        <v>168</v>
      </c>
      <c r="C57" s="1200">
        <v>334</v>
      </c>
      <c r="D57" s="95">
        <v>349</v>
      </c>
      <c r="E57" s="59">
        <v>373</v>
      </c>
      <c r="F57" s="59">
        <v>380</v>
      </c>
      <c r="G57" s="59">
        <v>407</v>
      </c>
      <c r="H57" s="59">
        <v>415</v>
      </c>
      <c r="I57" s="59">
        <v>391</v>
      </c>
      <c r="J57" s="59">
        <v>440</v>
      </c>
      <c r="K57" s="59">
        <v>488</v>
      </c>
      <c r="L57" s="59">
        <v>480</v>
      </c>
      <c r="M57" s="59">
        <v>514</v>
      </c>
      <c r="N57" s="102"/>
      <c r="O57" s="102"/>
      <c r="S57"/>
      <c r="T57" s="464"/>
    </row>
    <row r="58" spans="2:20" ht="15" thickBot="1">
      <c r="B58" s="84" t="s">
        <v>368</v>
      </c>
      <c r="C58" s="1200">
        <v>322</v>
      </c>
      <c r="D58" s="95">
        <v>335</v>
      </c>
      <c r="E58" s="59">
        <v>359</v>
      </c>
      <c r="F58" s="62">
        <v>364</v>
      </c>
      <c r="G58" s="62">
        <v>391</v>
      </c>
      <c r="H58" s="62">
        <v>402</v>
      </c>
      <c r="I58" s="62">
        <v>367</v>
      </c>
      <c r="J58" s="62">
        <v>411</v>
      </c>
      <c r="K58" s="62">
        <v>453</v>
      </c>
      <c r="L58" s="62">
        <v>451</v>
      </c>
      <c r="M58" s="62">
        <v>478</v>
      </c>
      <c r="N58" s="102"/>
      <c r="O58" s="102"/>
      <c r="S58"/>
      <c r="T58" s="464"/>
    </row>
    <row r="59" spans="2:20" ht="15" thickBot="1">
      <c r="B59" s="61" t="s">
        <v>51</v>
      </c>
      <c r="C59" s="942"/>
      <c r="D59" s="61"/>
      <c r="E59" s="60"/>
      <c r="F59" s="59"/>
      <c r="G59" s="59"/>
      <c r="H59" s="59"/>
      <c r="I59" s="59"/>
      <c r="J59" s="59"/>
      <c r="K59" s="59"/>
      <c r="L59" s="59"/>
      <c r="M59" s="59"/>
      <c r="N59" s="102"/>
      <c r="O59" s="102"/>
      <c r="S59"/>
      <c r="T59" s="464"/>
    </row>
    <row r="60" spans="2:20" ht="15" thickBot="1">
      <c r="B60" s="95" t="s">
        <v>151</v>
      </c>
      <c r="C60" s="1200">
        <v>76</v>
      </c>
      <c r="D60" s="95">
        <v>61</v>
      </c>
      <c r="E60" s="59">
        <v>51</v>
      </c>
      <c r="F60" s="62">
        <v>37</v>
      </c>
      <c r="G60" s="59">
        <v>26</v>
      </c>
      <c r="H60" s="59">
        <v>10</v>
      </c>
      <c r="I60" s="59">
        <v>62</v>
      </c>
      <c r="J60" s="59">
        <v>73</v>
      </c>
      <c r="K60" s="59">
        <v>85</v>
      </c>
      <c r="L60" s="59">
        <v>74</v>
      </c>
      <c r="M60" s="59">
        <v>80</v>
      </c>
      <c r="N60" s="102"/>
      <c r="O60" s="102"/>
      <c r="S60"/>
      <c r="T60" s="464"/>
    </row>
    <row r="61" spans="2:20" ht="15" thickBot="1">
      <c r="B61" s="106" t="s">
        <v>169</v>
      </c>
      <c r="C61" s="1200">
        <v>60</v>
      </c>
      <c r="D61" s="95">
        <v>61</v>
      </c>
      <c r="E61" s="59">
        <v>72</v>
      </c>
      <c r="F61" s="59">
        <v>70</v>
      </c>
      <c r="G61" s="104">
        <v>88</v>
      </c>
      <c r="H61" s="104">
        <v>82</v>
      </c>
      <c r="I61" s="104">
        <v>93</v>
      </c>
      <c r="J61" s="104">
        <v>106</v>
      </c>
      <c r="K61" s="104">
        <v>104</v>
      </c>
      <c r="L61" s="104">
        <v>111</v>
      </c>
      <c r="M61" s="104">
        <v>115</v>
      </c>
      <c r="N61" s="103"/>
      <c r="O61" s="103"/>
      <c r="S61"/>
      <c r="T61" s="464"/>
    </row>
    <row r="62" spans="2:20">
      <c r="B62" s="1409" t="s">
        <v>1908</v>
      </c>
      <c r="C62" s="1053"/>
    </row>
  </sheetData>
  <hyperlinks>
    <hyperlink ref="S25" r:id="rId1" display="Source: Luke, Horticultural Statistics, 2024" xr:uid="{00000000-0004-0000-0D00-000001000000}"/>
    <hyperlink ref="B62" r:id="rId2" xr:uid="{00000000-0004-0000-0D00-000002000000}"/>
    <hyperlink ref="S9" r:id="rId3" display="Source: LUKE, Horticultural Statistics, 2024" xr:uid="{00000000-0004-0000-0D00-000003000000}"/>
    <hyperlink ref="B44" r:id="rId4" display="Source: LUKE, Horticultural Statistics, 2024" xr:uid="{00000000-0004-0000-0D00-000000000000}"/>
  </hyperlinks>
  <pageMargins left="0.7" right="0.7" top="0.78740157499999996" bottom="0.78740157499999996" header="0.3" footer="0.3"/>
  <pageSetup paperSize="9" orientation="portrait" verticalDpi="300" r:id="rId5"/>
  <legacyDrawing r:id="rId6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</sheetPr>
  <dimension ref="B2:P287"/>
  <sheetViews>
    <sheetView topLeftCell="A270" zoomScaleNormal="100" workbookViewId="0">
      <selection activeCell="C31" sqref="C31"/>
    </sheetView>
  </sheetViews>
  <sheetFormatPr defaultColWidth="11.44140625" defaultRowHeight="14.4"/>
  <cols>
    <col min="2" max="2" width="28.6640625" customWidth="1"/>
    <col min="3" max="3" width="13.44140625" bestFit="1" customWidth="1"/>
    <col min="4" max="4" width="13" customWidth="1"/>
    <col min="5" max="5" width="20.33203125" customWidth="1"/>
    <col min="7" max="7" width="17.33203125" customWidth="1"/>
  </cols>
  <sheetData>
    <row r="2" spans="2:13" ht="15.6">
      <c r="B2" s="83" t="s">
        <v>840</v>
      </c>
    </row>
    <row r="3" spans="2:13" ht="15.6">
      <c r="B3" s="83"/>
    </row>
    <row r="4" spans="2:13" ht="15.6">
      <c r="B4" s="83"/>
    </row>
    <row r="5" spans="2:13" ht="15.6">
      <c r="B5" s="83" t="s">
        <v>2417</v>
      </c>
      <c r="H5" s="86" t="s">
        <v>841</v>
      </c>
    </row>
    <row r="6" spans="2:13" ht="15.6">
      <c r="B6" s="83"/>
      <c r="H6" s="290" t="s">
        <v>842</v>
      </c>
      <c r="I6" s="78"/>
      <c r="J6" s="78"/>
      <c r="K6" s="78"/>
    </row>
    <row r="7" spans="2:13" ht="15" customHeight="1">
      <c r="B7" s="13" t="s">
        <v>530</v>
      </c>
      <c r="C7" s="479">
        <v>68.5</v>
      </c>
      <c r="D7" s="240" t="s">
        <v>531</v>
      </c>
      <c r="H7" s="290"/>
      <c r="I7" s="78"/>
      <c r="J7" s="78"/>
      <c r="K7" s="78"/>
    </row>
    <row r="8" spans="2:13">
      <c r="B8" s="13" t="s">
        <v>532</v>
      </c>
      <c r="C8" s="247">
        <v>549100</v>
      </c>
      <c r="D8" s="240" t="s">
        <v>533</v>
      </c>
      <c r="H8" s="466"/>
      <c r="I8" s="466"/>
      <c r="J8" s="466"/>
      <c r="K8" s="466"/>
    </row>
    <row r="9" spans="2:13" ht="53.4">
      <c r="B9" s="242" t="s">
        <v>534</v>
      </c>
      <c r="C9" s="243">
        <v>124</v>
      </c>
      <c r="D9" s="244" t="s">
        <v>535</v>
      </c>
      <c r="H9" s="1032" t="s">
        <v>751</v>
      </c>
      <c r="I9" s="1033" t="s">
        <v>56</v>
      </c>
      <c r="J9" s="1033" t="s">
        <v>70</v>
      </c>
      <c r="K9" s="1033" t="s">
        <v>1716</v>
      </c>
    </row>
    <row r="10" spans="2:13" ht="15" customHeight="1">
      <c r="B10" s="245"/>
      <c r="C10" s="246"/>
      <c r="D10" s="240"/>
      <c r="H10" t="s">
        <v>2410</v>
      </c>
      <c r="I10">
        <v>1798</v>
      </c>
    </row>
    <row r="11" spans="2:13" ht="15.6">
      <c r="B11" s="13" t="s">
        <v>536</v>
      </c>
      <c r="C11" s="247">
        <v>3096</v>
      </c>
      <c r="D11" s="240" t="s">
        <v>537</v>
      </c>
      <c r="H11" s="704">
        <v>2023</v>
      </c>
      <c r="I11" s="1318">
        <v>1784</v>
      </c>
      <c r="J11" s="1318">
        <v>368</v>
      </c>
      <c r="K11" s="1318">
        <v>619</v>
      </c>
    </row>
    <row r="12" spans="2:13" ht="15" customHeight="1">
      <c r="B12" s="245" t="s">
        <v>538</v>
      </c>
      <c r="C12" s="246">
        <v>45180</v>
      </c>
      <c r="D12" s="240" t="s">
        <v>539</v>
      </c>
      <c r="H12" s="704">
        <v>2022</v>
      </c>
      <c r="I12" s="1319">
        <v>3089</v>
      </c>
      <c r="J12" s="1318">
        <v>347</v>
      </c>
      <c r="K12" s="1318">
        <v>633</v>
      </c>
    </row>
    <row r="13" spans="2:13">
      <c r="B13" s="13" t="s">
        <v>540</v>
      </c>
      <c r="C13" s="247">
        <v>4290</v>
      </c>
      <c r="D13" s="240" t="s">
        <v>537</v>
      </c>
      <c r="H13" s="704">
        <v>2021</v>
      </c>
      <c r="I13" s="1319">
        <v>2937</v>
      </c>
      <c r="J13" s="1318">
        <v>1189</v>
      </c>
      <c r="K13" s="1318">
        <v>952</v>
      </c>
    </row>
    <row r="14" spans="2:13">
      <c r="B14" s="245" t="s">
        <v>541</v>
      </c>
      <c r="C14" s="246"/>
      <c r="D14" s="240"/>
      <c r="H14" s="1029">
        <v>2020</v>
      </c>
      <c r="I14" s="1028">
        <v>2842</v>
      </c>
      <c r="J14" s="1028">
        <v>1209</v>
      </c>
      <c r="K14" s="1030">
        <v>932</v>
      </c>
    </row>
    <row r="15" spans="2:13">
      <c r="B15" s="245" t="s">
        <v>538</v>
      </c>
      <c r="C15" s="246">
        <v>62620</v>
      </c>
      <c r="D15" s="240" t="s">
        <v>542</v>
      </c>
      <c r="H15" s="1029">
        <v>2019</v>
      </c>
      <c r="I15" s="1028">
        <v>2858.86</v>
      </c>
      <c r="J15" s="1028">
        <v>1203.9100000000001</v>
      </c>
      <c r="K15" s="1031">
        <v>955</v>
      </c>
      <c r="M15" s="134"/>
    </row>
    <row r="16" spans="2:13" ht="15" customHeight="1">
      <c r="B16" s="248"/>
      <c r="C16" s="249"/>
      <c r="D16" s="244"/>
      <c r="H16" s="1029">
        <v>2018</v>
      </c>
      <c r="I16" s="1028">
        <v>2895</v>
      </c>
      <c r="J16" s="1028">
        <v>1197</v>
      </c>
      <c r="K16" s="1028">
        <v>941</v>
      </c>
    </row>
    <row r="17" spans="2:15">
      <c r="B17" s="13" t="s">
        <v>543</v>
      </c>
      <c r="C17" s="239">
        <v>1.2</v>
      </c>
      <c r="D17" s="240" t="s">
        <v>544</v>
      </c>
      <c r="H17" s="1029">
        <v>2017</v>
      </c>
      <c r="I17" s="1028">
        <v>2805.17</v>
      </c>
      <c r="J17" s="1028">
        <v>1176</v>
      </c>
      <c r="K17" s="1028">
        <v>921</v>
      </c>
    </row>
    <row r="18" spans="2:15" ht="26.4">
      <c r="B18" s="13" t="s">
        <v>545</v>
      </c>
      <c r="C18" s="239">
        <v>0.8</v>
      </c>
      <c r="D18" s="240" t="s">
        <v>546</v>
      </c>
      <c r="H18" s="1029">
        <v>2016</v>
      </c>
      <c r="I18" s="1028">
        <v>2796</v>
      </c>
      <c r="J18" s="1028">
        <v>1174</v>
      </c>
      <c r="K18" s="1028">
        <v>1576</v>
      </c>
    </row>
    <row r="19" spans="2:15">
      <c r="B19" s="245"/>
      <c r="C19" s="246"/>
      <c r="D19" s="240"/>
      <c r="H19" s="1029">
        <v>2015</v>
      </c>
      <c r="I19" s="1028">
        <v>2901</v>
      </c>
      <c r="J19" s="1028">
        <v>1183</v>
      </c>
      <c r="K19" s="1028">
        <v>1675.1</v>
      </c>
    </row>
    <row r="20" spans="2:15">
      <c r="B20" s="250" t="s">
        <v>712</v>
      </c>
      <c r="C20" s="251"/>
      <c r="D20" s="251"/>
      <c r="E20" s="251"/>
      <c r="H20" s="1029">
        <v>2014</v>
      </c>
      <c r="I20" s="1028">
        <v>2852</v>
      </c>
      <c r="J20" s="1028">
        <v>1173</v>
      </c>
      <c r="K20" s="1028">
        <v>965</v>
      </c>
    </row>
    <row r="21" spans="2:15">
      <c r="B21" s="252" t="s">
        <v>2418</v>
      </c>
      <c r="C21" s="253"/>
      <c r="D21" s="253"/>
      <c r="E21" s="82"/>
      <c r="H21" s="1029">
        <v>2013</v>
      </c>
      <c r="I21" s="1028">
        <v>2470</v>
      </c>
      <c r="J21" s="1028">
        <v>912</v>
      </c>
      <c r="K21" s="1028">
        <v>997</v>
      </c>
    </row>
    <row r="22" spans="2:15">
      <c r="H22" s="1029">
        <v>2012</v>
      </c>
      <c r="I22" s="1028">
        <v>2556</v>
      </c>
      <c r="J22" s="1028">
        <v>891</v>
      </c>
      <c r="K22" s="1028">
        <v>981</v>
      </c>
    </row>
    <row r="23" spans="2:15">
      <c r="H23" s="87" t="s">
        <v>1717</v>
      </c>
      <c r="I23" s="82"/>
      <c r="J23" s="82"/>
      <c r="K23" s="82"/>
    </row>
    <row r="24" spans="2:15">
      <c r="H24" s="1286" t="s">
        <v>754</v>
      </c>
    </row>
    <row r="26" spans="2:15" ht="15.6">
      <c r="B26" s="86" t="s">
        <v>843</v>
      </c>
    </row>
    <row r="27" spans="2:15">
      <c r="B27" s="81" t="s">
        <v>137</v>
      </c>
    </row>
    <row r="28" spans="2:15">
      <c r="B28" s="3"/>
      <c r="C28" s="162">
        <v>2024</v>
      </c>
      <c r="D28" s="162">
        <v>2023</v>
      </c>
      <c r="E28" s="162">
        <v>2022</v>
      </c>
      <c r="F28" s="162">
        <v>2021</v>
      </c>
      <c r="G28" s="162">
        <v>2020</v>
      </c>
      <c r="H28" s="162">
        <v>2019</v>
      </c>
      <c r="I28" s="162">
        <v>2018</v>
      </c>
      <c r="J28" s="162">
        <v>2017</v>
      </c>
      <c r="K28" s="162">
        <v>2015</v>
      </c>
      <c r="L28" s="162">
        <v>2014</v>
      </c>
      <c r="M28" s="944"/>
      <c r="N28" s="944"/>
      <c r="O28" s="944"/>
    </row>
    <row r="29" spans="2:15">
      <c r="B29" s="395" t="s">
        <v>845</v>
      </c>
      <c r="C29" s="1261">
        <v>1869</v>
      </c>
      <c r="D29" s="1318">
        <v>1894</v>
      </c>
      <c r="E29" s="1034">
        <v>1682</v>
      </c>
      <c r="F29" s="1034">
        <v>1889</v>
      </c>
      <c r="G29" s="480">
        <v>1903</v>
      </c>
      <c r="H29" s="480">
        <v>2546</v>
      </c>
      <c r="I29" s="480">
        <v>2548</v>
      </c>
      <c r="J29" s="480">
        <v>2566</v>
      </c>
      <c r="K29" s="480">
        <v>2706</v>
      </c>
      <c r="L29" s="480">
        <v>2616</v>
      </c>
      <c r="M29" s="486"/>
      <c r="N29" s="486"/>
      <c r="O29" s="486"/>
    </row>
    <row r="30" spans="2:15">
      <c r="B30" s="395" t="s">
        <v>61</v>
      </c>
      <c r="C30" s="1261">
        <v>1053</v>
      </c>
      <c r="D30" s="1318">
        <v>1054</v>
      </c>
      <c r="E30" s="1034">
        <v>998</v>
      </c>
      <c r="F30" s="1034">
        <v>952</v>
      </c>
      <c r="G30" s="480">
        <v>1050</v>
      </c>
      <c r="H30" s="480">
        <v>2106</v>
      </c>
      <c r="I30" s="480">
        <v>2101</v>
      </c>
      <c r="J30" s="480">
        <v>2193</v>
      </c>
      <c r="K30" s="480">
        <v>2238</v>
      </c>
      <c r="L30" s="480">
        <v>2235</v>
      </c>
      <c r="M30" s="486"/>
      <c r="N30" s="486"/>
      <c r="O30" s="486"/>
    </row>
    <row r="31" spans="2:15">
      <c r="B31" s="395" t="s">
        <v>848</v>
      </c>
      <c r="C31" s="1261">
        <v>684</v>
      </c>
      <c r="D31" s="1318">
        <v>688</v>
      </c>
      <c r="E31" s="1034">
        <v>681</v>
      </c>
      <c r="F31" s="1034">
        <v>682</v>
      </c>
      <c r="G31" s="480">
        <v>693</v>
      </c>
      <c r="H31" s="480">
        <v>1112</v>
      </c>
      <c r="I31" s="480">
        <v>1111</v>
      </c>
      <c r="J31" s="480">
        <v>1131</v>
      </c>
      <c r="K31" s="480">
        <v>1129</v>
      </c>
      <c r="L31" s="480">
        <v>1092</v>
      </c>
      <c r="M31" s="486"/>
      <c r="N31" s="486"/>
      <c r="O31" s="486"/>
    </row>
    <row r="32" spans="2:15">
      <c r="B32" s="395" t="s">
        <v>849</v>
      </c>
      <c r="C32" s="1261">
        <v>1339</v>
      </c>
      <c r="D32" s="1318">
        <v>1259</v>
      </c>
      <c r="E32" s="1034">
        <v>1205</v>
      </c>
      <c r="F32" s="1034">
        <v>1144</v>
      </c>
      <c r="G32" s="480">
        <v>1242</v>
      </c>
      <c r="H32" s="480">
        <v>1745</v>
      </c>
      <c r="I32" s="480">
        <v>1748</v>
      </c>
      <c r="J32" s="480">
        <v>1779</v>
      </c>
      <c r="K32" s="480">
        <v>1797</v>
      </c>
      <c r="L32" s="480">
        <v>1808</v>
      </c>
      <c r="M32" s="486"/>
      <c r="N32" s="486"/>
      <c r="O32" s="486"/>
    </row>
    <row r="33" spans="2:15">
      <c r="B33" s="481" t="s">
        <v>851</v>
      </c>
      <c r="C33" s="1261">
        <v>275</v>
      </c>
      <c r="D33" s="1318">
        <v>278</v>
      </c>
      <c r="E33" s="1035">
        <v>172</v>
      </c>
      <c r="F33" s="1035">
        <v>234</v>
      </c>
      <c r="G33" s="482">
        <v>234</v>
      </c>
      <c r="H33" s="482">
        <v>1292</v>
      </c>
      <c r="I33" s="482">
        <v>1291</v>
      </c>
      <c r="J33" s="482">
        <v>1302</v>
      </c>
      <c r="K33" s="482">
        <v>1300</v>
      </c>
      <c r="L33" s="482">
        <v>1291</v>
      </c>
      <c r="M33" s="486"/>
      <c r="N33" s="486"/>
      <c r="O33" s="486"/>
    </row>
    <row r="34" spans="2:15">
      <c r="B34" s="483" t="s">
        <v>52</v>
      </c>
      <c r="C34" s="1036">
        <f>C33+C32+C31+C30+C29</f>
        <v>5220</v>
      </c>
      <c r="D34" s="1036">
        <f>D33+D32+D31+D30+D29</f>
        <v>5173</v>
      </c>
      <c r="E34" s="1036">
        <f>E33+E32+E31+E30+E29</f>
        <v>4738</v>
      </c>
      <c r="F34" s="1036">
        <v>4901</v>
      </c>
      <c r="G34" s="484">
        <v>5122</v>
      </c>
      <c r="H34" s="484">
        <v>8801</v>
      </c>
      <c r="I34" s="484">
        <v>8799</v>
      </c>
      <c r="J34" s="484">
        <v>8971</v>
      </c>
      <c r="K34" s="484">
        <v>9170</v>
      </c>
      <c r="L34" s="484">
        <v>9092</v>
      </c>
      <c r="M34" s="645"/>
      <c r="N34" s="645"/>
      <c r="O34" s="645"/>
    </row>
    <row r="35" spans="2:15">
      <c r="B35" s="87" t="s">
        <v>853</v>
      </c>
      <c r="C35" s="485"/>
      <c r="D35" s="485"/>
      <c r="E35" s="485"/>
      <c r="F35" s="485"/>
      <c r="G35" s="485"/>
      <c r="H35" s="485"/>
      <c r="J35" s="485"/>
      <c r="K35" s="486"/>
      <c r="L35" s="1102"/>
    </row>
    <row r="36" spans="2:15">
      <c r="B36" s="41" t="s">
        <v>2040</v>
      </c>
      <c r="C36" s="485"/>
      <c r="D36" s="485"/>
      <c r="E36" s="485"/>
      <c r="F36" s="485"/>
      <c r="G36" s="485"/>
      <c r="H36" s="485"/>
      <c r="J36" s="487"/>
    </row>
    <row r="37" spans="2:15">
      <c r="B37" s="193"/>
      <c r="C37" s="485"/>
      <c r="D37" s="485"/>
      <c r="E37" s="485"/>
      <c r="F37" s="485"/>
      <c r="G37" s="485"/>
      <c r="H37" s="485"/>
      <c r="J37" s="487"/>
    </row>
    <row r="38" spans="2:15" ht="15.6">
      <c r="B38" s="86" t="s">
        <v>106</v>
      </c>
      <c r="C38" s="290"/>
      <c r="D38" s="290"/>
      <c r="E38" s="290"/>
      <c r="F38" s="490"/>
      <c r="G38" s="485"/>
      <c r="H38" s="485"/>
      <c r="J38" s="487"/>
    </row>
    <row r="39" spans="2:15">
      <c r="B39" s="81" t="s">
        <v>46</v>
      </c>
      <c r="C39" s="290"/>
      <c r="D39" s="290"/>
      <c r="E39" s="290"/>
      <c r="F39" s="490"/>
      <c r="G39" s="485"/>
      <c r="H39" s="485"/>
      <c r="J39" s="487"/>
    </row>
    <row r="40" spans="2:15">
      <c r="B40" s="162"/>
      <c r="C40" s="162">
        <v>2023</v>
      </c>
      <c r="D40" s="162">
        <v>2021</v>
      </c>
      <c r="E40" s="162">
        <v>2019</v>
      </c>
      <c r="F40" s="162">
        <v>2017</v>
      </c>
      <c r="G40" s="162">
        <v>2015</v>
      </c>
      <c r="H40" s="162">
        <v>2013</v>
      </c>
      <c r="I40" s="162">
        <v>2005</v>
      </c>
    </row>
    <row r="41" spans="2:15">
      <c r="B41" s="399" t="s">
        <v>51</v>
      </c>
      <c r="C41" s="1440">
        <v>11923</v>
      </c>
      <c r="D41" s="492">
        <v>14266</v>
      </c>
      <c r="E41" s="492">
        <v>14532</v>
      </c>
      <c r="F41" s="492">
        <v>12638</v>
      </c>
      <c r="G41" s="492">
        <v>12915</v>
      </c>
      <c r="H41" s="492">
        <v>12814</v>
      </c>
      <c r="I41" s="492">
        <v>15920</v>
      </c>
      <c r="K41" s="487"/>
    </row>
    <row r="42" spans="2:15">
      <c r="B42" s="395" t="s">
        <v>859</v>
      </c>
      <c r="C42" s="1441">
        <v>2680</v>
      </c>
      <c r="D42" s="493">
        <v>2202</v>
      </c>
      <c r="E42" s="493">
        <v>2288</v>
      </c>
      <c r="F42" s="493">
        <v>2064</v>
      </c>
      <c r="G42" s="493">
        <v>2038</v>
      </c>
      <c r="H42" s="493">
        <v>2049</v>
      </c>
      <c r="I42" s="493">
        <v>2799</v>
      </c>
      <c r="K42" s="487"/>
    </row>
    <row r="43" spans="2:15">
      <c r="B43" s="395" t="s">
        <v>861</v>
      </c>
      <c r="C43" s="1441">
        <v>478</v>
      </c>
      <c r="D43" s="493">
        <v>539</v>
      </c>
      <c r="E43" s="493">
        <v>488</v>
      </c>
      <c r="F43" s="493">
        <v>466</v>
      </c>
      <c r="G43" s="493">
        <v>486</v>
      </c>
      <c r="H43" s="493">
        <v>542</v>
      </c>
      <c r="I43" s="493">
        <v>750</v>
      </c>
      <c r="K43" s="487"/>
    </row>
    <row r="44" spans="2:15">
      <c r="B44" s="481" t="s">
        <v>863</v>
      </c>
      <c r="C44" s="1442">
        <v>1118</v>
      </c>
      <c r="D44" s="494">
        <v>1127</v>
      </c>
      <c r="E44" s="494">
        <v>1074</v>
      </c>
      <c r="F44" s="494">
        <v>1105</v>
      </c>
      <c r="G44" s="494">
        <v>1172</v>
      </c>
      <c r="H44" s="494">
        <v>1226</v>
      </c>
      <c r="I44" s="494">
        <v>1675</v>
      </c>
      <c r="K44" s="487"/>
    </row>
    <row r="45" spans="2:15">
      <c r="B45" s="483" t="s">
        <v>52</v>
      </c>
      <c r="C45" s="484">
        <f>C44+C43+C42+C41</f>
        <v>16199</v>
      </c>
      <c r="D45" s="484">
        <f>D44+D43+D42+D41</f>
        <v>18134</v>
      </c>
      <c r="E45" s="484">
        <f>E44+E43+E42+E41</f>
        <v>18382</v>
      </c>
      <c r="F45" s="484">
        <f>F44+F43+F42+F41</f>
        <v>16273</v>
      </c>
      <c r="G45" s="484">
        <v>16661</v>
      </c>
      <c r="H45" s="484">
        <v>16631</v>
      </c>
      <c r="I45" s="484">
        <v>21144</v>
      </c>
    </row>
    <row r="46" spans="2:15">
      <c r="B46" s="193" t="s">
        <v>2041</v>
      </c>
      <c r="C46" s="267"/>
    </row>
    <row r="47" spans="2:15">
      <c r="J47" s="490"/>
    </row>
    <row r="50" spans="2:10" ht="15.6">
      <c r="B50" s="86" t="s">
        <v>2043</v>
      </c>
      <c r="C50" s="490"/>
      <c r="D50" s="490"/>
      <c r="E50" s="490"/>
      <c r="F50" s="490"/>
      <c r="G50" s="490"/>
      <c r="H50" s="490"/>
      <c r="I50" s="490"/>
    </row>
    <row r="51" spans="2:10">
      <c r="B51" s="81" t="s">
        <v>870</v>
      </c>
      <c r="C51" s="490"/>
      <c r="D51" s="490"/>
      <c r="E51" s="490"/>
      <c r="F51" s="490"/>
      <c r="G51" s="490"/>
      <c r="H51" s="490"/>
      <c r="I51" s="490"/>
    </row>
    <row r="52" spans="2:10">
      <c r="B52" s="162"/>
      <c r="C52" s="162" t="s">
        <v>872</v>
      </c>
      <c r="D52" s="162"/>
      <c r="E52" s="159" t="s">
        <v>873</v>
      </c>
      <c r="F52" s="495" t="s">
        <v>874</v>
      </c>
      <c r="G52" s="159"/>
    </row>
    <row r="53" spans="2:10">
      <c r="B53" s="496" t="s">
        <v>876</v>
      </c>
      <c r="C53" s="162" t="s">
        <v>385</v>
      </c>
      <c r="D53" s="162"/>
      <c r="E53" s="162" t="s">
        <v>51</v>
      </c>
      <c r="F53" s="495" t="s">
        <v>442</v>
      </c>
      <c r="G53" s="162" t="s">
        <v>52</v>
      </c>
      <c r="J53" s="1015"/>
    </row>
    <row r="54" spans="2:10">
      <c r="B54" s="399" t="s">
        <v>877</v>
      </c>
      <c r="C54" s="492">
        <v>180</v>
      </c>
      <c r="D54" s="492"/>
      <c r="E54" s="492">
        <v>471</v>
      </c>
      <c r="F54" s="492">
        <f t="shared" ref="F54:F59" si="0">G54-E54</f>
        <v>205</v>
      </c>
      <c r="G54" s="497">
        <v>676</v>
      </c>
    </row>
    <row r="55" spans="2:10">
      <c r="B55" s="395" t="s">
        <v>878</v>
      </c>
      <c r="C55" s="493">
        <v>150</v>
      </c>
      <c r="D55" s="493"/>
      <c r="E55" s="493">
        <v>1398</v>
      </c>
      <c r="F55" s="493">
        <f t="shared" si="0"/>
        <v>185</v>
      </c>
      <c r="G55" s="498">
        <v>1583</v>
      </c>
    </row>
    <row r="56" spans="2:10">
      <c r="B56" s="399" t="s">
        <v>882</v>
      </c>
      <c r="C56" s="493">
        <v>380</v>
      </c>
      <c r="D56" s="493"/>
      <c r="E56" s="493">
        <v>2531</v>
      </c>
      <c r="F56" s="493">
        <f t="shared" si="0"/>
        <v>520</v>
      </c>
      <c r="G56" s="498">
        <v>3051</v>
      </c>
    </row>
    <row r="57" spans="2:10" ht="16.2">
      <c r="B57" s="1016" t="s">
        <v>884</v>
      </c>
      <c r="C57" s="1017">
        <v>538</v>
      </c>
      <c r="D57" s="494"/>
      <c r="E57" s="494">
        <v>523</v>
      </c>
      <c r="F57" s="494">
        <f t="shared" si="0"/>
        <v>334</v>
      </c>
      <c r="G57" s="499">
        <v>857</v>
      </c>
    </row>
    <row r="58" spans="2:10">
      <c r="B58" s="1013" t="s">
        <v>881</v>
      </c>
      <c r="C58" s="1014">
        <v>242</v>
      </c>
      <c r="D58" s="492"/>
      <c r="E58" s="492">
        <v>423</v>
      </c>
      <c r="F58" s="492">
        <f t="shared" si="0"/>
        <v>259</v>
      </c>
      <c r="G58" s="497">
        <v>682</v>
      </c>
    </row>
    <row r="59" spans="2:10">
      <c r="B59" s="399" t="s">
        <v>880</v>
      </c>
      <c r="C59" s="493">
        <v>325</v>
      </c>
      <c r="D59" s="493"/>
      <c r="E59" s="493">
        <v>1349</v>
      </c>
      <c r="F59" s="493">
        <f t="shared" si="0"/>
        <v>450</v>
      </c>
      <c r="G59" s="498">
        <v>1799</v>
      </c>
    </row>
    <row r="60" spans="2:10">
      <c r="B60" s="290" t="s">
        <v>896</v>
      </c>
      <c r="C60" s="490">
        <v>218</v>
      </c>
      <c r="E60" s="267">
        <v>1559</v>
      </c>
      <c r="F60" s="493">
        <f t="shared" ref="F60:F65" si="1">G60-E60</f>
        <v>1121</v>
      </c>
      <c r="G60" s="1086">
        <v>2680</v>
      </c>
    </row>
    <row r="61" spans="2:10">
      <c r="B61" s="290" t="s">
        <v>895</v>
      </c>
      <c r="C61" s="490">
        <v>155</v>
      </c>
      <c r="E61" s="267">
        <v>1340</v>
      </c>
      <c r="F61" s="493">
        <f t="shared" si="1"/>
        <v>281</v>
      </c>
      <c r="G61" s="1086">
        <v>1621</v>
      </c>
    </row>
    <row r="62" spans="2:10">
      <c r="B62" s="290" t="s">
        <v>1836</v>
      </c>
      <c r="C62" s="490">
        <v>135</v>
      </c>
      <c r="E62" s="267">
        <v>574</v>
      </c>
      <c r="F62" s="493">
        <f t="shared" si="1"/>
        <v>253</v>
      </c>
      <c r="G62" s="1086">
        <v>827</v>
      </c>
    </row>
    <row r="63" spans="2:10">
      <c r="B63" s="290" t="s">
        <v>898</v>
      </c>
      <c r="C63" s="490">
        <v>79</v>
      </c>
      <c r="E63" s="267">
        <v>363</v>
      </c>
      <c r="F63" s="493">
        <f t="shared" ref="F63" si="2">G63-E63</f>
        <v>170</v>
      </c>
      <c r="G63" s="1086">
        <v>533</v>
      </c>
    </row>
    <row r="64" spans="2:10">
      <c r="B64" s="290" t="s">
        <v>894</v>
      </c>
      <c r="C64" s="490">
        <v>192</v>
      </c>
      <c r="D64" s="490"/>
      <c r="E64" s="267">
        <v>748</v>
      </c>
      <c r="F64" s="493">
        <f t="shared" si="1"/>
        <v>259</v>
      </c>
      <c r="G64" s="1086">
        <v>1007</v>
      </c>
    </row>
    <row r="65" spans="2:7">
      <c r="B65" s="290" t="s">
        <v>893</v>
      </c>
      <c r="C65" s="490">
        <v>147</v>
      </c>
      <c r="D65" s="490"/>
      <c r="E65" s="267">
        <v>644</v>
      </c>
      <c r="F65" s="493">
        <f t="shared" si="1"/>
        <v>240</v>
      </c>
      <c r="G65" s="1086">
        <v>884</v>
      </c>
    </row>
    <row r="66" spans="2:7">
      <c r="B66" s="1018" t="s">
        <v>886</v>
      </c>
      <c r="C66" s="267"/>
      <c r="D66" s="267"/>
      <c r="E66" s="267"/>
      <c r="F66" s="267"/>
      <c r="G66" s="267"/>
    </row>
    <row r="67" spans="2:7">
      <c r="B67" s="193" t="s">
        <v>2042</v>
      </c>
      <c r="C67" s="267"/>
    </row>
    <row r="68" spans="2:7">
      <c r="B68" s="193"/>
      <c r="C68" s="267"/>
    </row>
    <row r="69" spans="2:7">
      <c r="B69" s="193"/>
      <c r="C69" s="267"/>
    </row>
    <row r="70" spans="2:7" ht="15.6">
      <c r="B70" s="86" t="s">
        <v>1759</v>
      </c>
      <c r="C70" s="490"/>
      <c r="D70" s="490"/>
      <c r="E70" s="490"/>
      <c r="F70" s="490"/>
      <c r="G70" s="490"/>
    </row>
    <row r="71" spans="2:7">
      <c r="B71" s="81" t="s">
        <v>870</v>
      </c>
      <c r="C71" s="490"/>
      <c r="D71" s="490"/>
      <c r="E71" s="490"/>
      <c r="F71" s="490"/>
      <c r="G71" s="490"/>
    </row>
    <row r="72" spans="2:7">
      <c r="B72" s="162"/>
      <c r="C72" s="162" t="s">
        <v>872</v>
      </c>
      <c r="D72" s="162"/>
      <c r="E72" s="159" t="s">
        <v>873</v>
      </c>
      <c r="F72" s="495" t="s">
        <v>874</v>
      </c>
      <c r="G72" s="159"/>
    </row>
    <row r="73" spans="2:7">
      <c r="B73" s="496" t="s">
        <v>876</v>
      </c>
      <c r="C73" s="162" t="s">
        <v>385</v>
      </c>
      <c r="D73" s="162"/>
      <c r="E73" s="162" t="s">
        <v>51</v>
      </c>
      <c r="F73" s="495" t="s">
        <v>442</v>
      </c>
      <c r="G73" s="162" t="s">
        <v>52</v>
      </c>
    </row>
    <row r="74" spans="2:7">
      <c r="B74" s="399" t="s">
        <v>880</v>
      </c>
      <c r="C74" s="493">
        <v>376</v>
      </c>
      <c r="D74" s="493"/>
      <c r="E74" s="493">
        <v>1555.3</v>
      </c>
      <c r="F74" s="493">
        <v>165.7</v>
      </c>
      <c r="G74" s="498">
        <v>1721</v>
      </c>
    </row>
    <row r="75" spans="2:7">
      <c r="B75" s="1013" t="s">
        <v>881</v>
      </c>
      <c r="C75" s="1014">
        <f>126+150</f>
        <v>276</v>
      </c>
      <c r="D75" s="492"/>
      <c r="E75" s="492">
        <v>777.9</v>
      </c>
      <c r="F75" s="492">
        <v>97</v>
      </c>
      <c r="G75" s="497">
        <v>874.9</v>
      </c>
    </row>
    <row r="76" spans="2:7" ht="16.2">
      <c r="B76" s="1016" t="s">
        <v>884</v>
      </c>
      <c r="C76" s="1017">
        <v>431</v>
      </c>
      <c r="D76" s="494"/>
      <c r="E76" s="494">
        <v>649.29999999999995</v>
      </c>
      <c r="F76" s="494">
        <v>210.2</v>
      </c>
      <c r="G76" s="499">
        <v>859.5</v>
      </c>
    </row>
    <row r="77" spans="2:7">
      <c r="B77" s="1018" t="s">
        <v>886</v>
      </c>
    </row>
    <row r="78" spans="2:7">
      <c r="B78" s="41" t="s">
        <v>1760</v>
      </c>
      <c r="C78" s="493"/>
      <c r="D78" s="493"/>
      <c r="E78" s="493"/>
      <c r="F78" s="493"/>
      <c r="G78" s="498"/>
    </row>
    <row r="79" spans="2:7">
      <c r="B79" s="193"/>
      <c r="C79" s="267"/>
    </row>
    <row r="80" spans="2:7">
      <c r="B80" s="193"/>
      <c r="C80" s="267"/>
    </row>
    <row r="81" spans="2:7" ht="15.6">
      <c r="B81" s="86" t="s">
        <v>868</v>
      </c>
      <c r="C81" s="490"/>
      <c r="D81" s="490"/>
      <c r="E81" s="490"/>
      <c r="F81" s="490"/>
      <c r="G81" s="490"/>
    </row>
    <row r="82" spans="2:7">
      <c r="B82" s="81" t="s">
        <v>870</v>
      </c>
      <c r="C82" s="490"/>
      <c r="D82" s="490"/>
      <c r="E82" s="490"/>
      <c r="F82" s="490"/>
      <c r="G82" s="490"/>
    </row>
    <row r="83" spans="2:7">
      <c r="B83" s="162"/>
      <c r="C83" s="162" t="s">
        <v>872</v>
      </c>
      <c r="D83" s="162"/>
      <c r="E83" s="159" t="s">
        <v>873</v>
      </c>
      <c r="F83" s="495" t="s">
        <v>874</v>
      </c>
      <c r="G83" s="159"/>
    </row>
    <row r="84" spans="2:7">
      <c r="B84" s="496" t="s">
        <v>876</v>
      </c>
      <c r="C84" s="162" t="s">
        <v>385</v>
      </c>
      <c r="D84" s="162"/>
      <c r="E84" s="162" t="s">
        <v>51</v>
      </c>
      <c r="F84" s="495" t="s">
        <v>442</v>
      </c>
      <c r="G84" s="162" t="s">
        <v>52</v>
      </c>
    </row>
    <row r="85" spans="2:7">
      <c r="B85" s="399" t="s">
        <v>877</v>
      </c>
      <c r="C85" s="492">
        <v>205</v>
      </c>
      <c r="D85" s="492"/>
      <c r="E85" s="492">
        <v>576</v>
      </c>
      <c r="F85" s="492">
        <v>82</v>
      </c>
      <c r="G85" s="497">
        <v>658</v>
      </c>
    </row>
    <row r="86" spans="2:7">
      <c r="B86" s="395" t="s">
        <v>878</v>
      </c>
      <c r="C86" s="493">
        <v>134</v>
      </c>
      <c r="D86" s="493"/>
      <c r="E86" s="493">
        <v>614</v>
      </c>
      <c r="F86" s="493">
        <v>55</v>
      </c>
      <c r="G86" s="498">
        <v>669</v>
      </c>
    </row>
    <row r="87" spans="2:7">
      <c r="B87" s="399" t="s">
        <v>880</v>
      </c>
      <c r="C87" s="493">
        <v>394</v>
      </c>
      <c r="D87" s="493"/>
      <c r="E87" s="493">
        <v>1724</v>
      </c>
      <c r="F87" s="493">
        <v>159</v>
      </c>
      <c r="G87" s="498">
        <v>1883</v>
      </c>
    </row>
    <row r="88" spans="2:7">
      <c r="B88" s="1013" t="s">
        <v>881</v>
      </c>
      <c r="C88" s="1014">
        <v>300</v>
      </c>
      <c r="D88" s="492"/>
      <c r="E88" s="492">
        <v>690</v>
      </c>
      <c r="F88" s="492">
        <v>99</v>
      </c>
      <c r="G88" s="497">
        <v>789</v>
      </c>
    </row>
    <row r="89" spans="2:7">
      <c r="B89" s="399" t="s">
        <v>882</v>
      </c>
      <c r="C89" s="493">
        <v>432</v>
      </c>
      <c r="D89" s="493"/>
      <c r="E89" s="493">
        <v>3155</v>
      </c>
      <c r="F89" s="493">
        <v>162</v>
      </c>
      <c r="G89" s="498">
        <v>3317</v>
      </c>
    </row>
    <row r="90" spans="2:7" ht="16.2">
      <c r="B90" s="1016" t="s">
        <v>884</v>
      </c>
      <c r="C90" s="1017">
        <v>458</v>
      </c>
      <c r="D90" s="494"/>
      <c r="E90" s="494">
        <v>636</v>
      </c>
      <c r="F90" s="494">
        <v>206</v>
      </c>
      <c r="G90" s="499">
        <v>842</v>
      </c>
    </row>
    <row r="91" spans="2:7">
      <c r="B91" s="1018" t="s">
        <v>886</v>
      </c>
    </row>
    <row r="92" spans="2:7">
      <c r="B92" s="193" t="s">
        <v>1840</v>
      </c>
    </row>
    <row r="93" spans="2:7">
      <c r="B93" s="193"/>
      <c r="C93" s="267"/>
    </row>
    <row r="94" spans="2:7">
      <c r="B94" s="503"/>
      <c r="C94" s="290"/>
      <c r="D94" s="290"/>
      <c r="E94" s="290"/>
      <c r="F94" s="490"/>
    </row>
    <row r="95" spans="2:7" ht="15.6">
      <c r="B95" s="86" t="s">
        <v>887</v>
      </c>
      <c r="C95" s="490"/>
      <c r="D95" s="290"/>
      <c r="E95" s="290"/>
      <c r="F95" s="490"/>
    </row>
    <row r="96" spans="2:7">
      <c r="B96" s="81" t="s">
        <v>870</v>
      </c>
      <c r="C96" s="490"/>
      <c r="D96" s="290"/>
      <c r="E96" s="290"/>
      <c r="F96" s="490"/>
    </row>
    <row r="97" spans="2:10">
      <c r="B97" s="162"/>
      <c r="C97" s="162" t="s">
        <v>872</v>
      </c>
      <c r="D97" s="162"/>
      <c r="E97" s="159" t="s">
        <v>873</v>
      </c>
      <c r="F97" s="495" t="s">
        <v>889</v>
      </c>
      <c r="G97" s="495" t="s">
        <v>441</v>
      </c>
      <c r="H97" s="495" t="s">
        <v>889</v>
      </c>
      <c r="I97" s="159"/>
    </row>
    <row r="98" spans="2:10">
      <c r="B98" s="496" t="s">
        <v>876</v>
      </c>
      <c r="C98" s="162" t="s">
        <v>385</v>
      </c>
      <c r="D98" s="162"/>
      <c r="E98" s="162" t="s">
        <v>51</v>
      </c>
      <c r="F98" s="495" t="s">
        <v>890</v>
      </c>
      <c r="G98" s="495" t="s">
        <v>442</v>
      </c>
      <c r="H98" s="495" t="s">
        <v>891</v>
      </c>
      <c r="I98" s="162" t="s">
        <v>52</v>
      </c>
    </row>
    <row r="99" spans="2:10">
      <c r="B99" s="162"/>
      <c r="C99" s="162"/>
      <c r="D99" s="162"/>
      <c r="E99" s="162"/>
      <c r="F99" s="162"/>
      <c r="G99" s="495" t="s">
        <v>892</v>
      </c>
      <c r="H99" s="162"/>
      <c r="I99" s="162"/>
    </row>
    <row r="100" spans="2:10">
      <c r="B100" s="395" t="s">
        <v>893</v>
      </c>
      <c r="C100" s="493">
        <v>163</v>
      </c>
      <c r="D100" s="493"/>
      <c r="E100" s="493">
        <v>825</v>
      </c>
      <c r="F100" s="493">
        <v>15</v>
      </c>
      <c r="G100" s="493">
        <v>43</v>
      </c>
      <c r="H100" s="493">
        <v>39</v>
      </c>
      <c r="I100" s="498">
        <v>922</v>
      </c>
    </row>
    <row r="101" spans="2:10">
      <c r="B101" s="395" t="s">
        <v>894</v>
      </c>
      <c r="C101" s="493">
        <v>165</v>
      </c>
      <c r="D101" s="493"/>
      <c r="E101" s="493">
        <v>441</v>
      </c>
      <c r="F101" s="493">
        <v>17</v>
      </c>
      <c r="G101" s="493">
        <v>35</v>
      </c>
      <c r="H101" s="493">
        <v>54</v>
      </c>
      <c r="I101" s="498">
        <v>547</v>
      </c>
      <c r="J101" s="490"/>
    </row>
    <row r="102" spans="2:10">
      <c r="B102" s="399" t="s">
        <v>895</v>
      </c>
      <c r="C102" s="493">
        <v>207</v>
      </c>
      <c r="D102" s="493"/>
      <c r="E102" s="493">
        <v>408</v>
      </c>
      <c r="F102" s="493">
        <v>39</v>
      </c>
      <c r="G102" s="493">
        <v>90</v>
      </c>
      <c r="H102" s="493">
        <v>224</v>
      </c>
      <c r="I102" s="498">
        <f>SUM(E102:H102)</f>
        <v>761</v>
      </c>
    </row>
    <row r="103" spans="2:10">
      <c r="B103" s="395" t="s">
        <v>896</v>
      </c>
      <c r="C103" s="492">
        <v>266</v>
      </c>
      <c r="D103" s="492"/>
      <c r="E103" s="492">
        <v>1795</v>
      </c>
      <c r="F103" s="492">
        <v>104</v>
      </c>
      <c r="G103" s="492">
        <v>246</v>
      </c>
      <c r="H103" s="492">
        <v>839</v>
      </c>
      <c r="I103" s="497">
        <v>2984</v>
      </c>
    </row>
    <row r="104" spans="2:10">
      <c r="B104" s="399" t="s">
        <v>897</v>
      </c>
      <c r="C104" s="493">
        <v>160</v>
      </c>
      <c r="D104" s="493"/>
      <c r="E104" s="493">
        <v>655</v>
      </c>
      <c r="F104" s="493">
        <v>51</v>
      </c>
      <c r="G104" s="493">
        <v>48</v>
      </c>
      <c r="H104" s="493">
        <v>136</v>
      </c>
      <c r="I104" s="498">
        <f>SUM(E104:H104)</f>
        <v>890</v>
      </c>
    </row>
    <row r="105" spans="2:10">
      <c r="B105" s="399" t="s">
        <v>898</v>
      </c>
      <c r="C105" s="493">
        <v>120</v>
      </c>
      <c r="D105" s="493"/>
      <c r="E105" s="493">
        <v>578</v>
      </c>
      <c r="F105" s="493">
        <v>13</v>
      </c>
      <c r="G105" s="493">
        <v>50</v>
      </c>
      <c r="H105" s="493">
        <v>79</v>
      </c>
      <c r="I105" s="498">
        <v>720</v>
      </c>
    </row>
    <row r="106" spans="2:10">
      <c r="B106" s="358" t="s">
        <v>900</v>
      </c>
      <c r="C106" s="490"/>
      <c r="D106" s="490"/>
      <c r="E106" s="490"/>
      <c r="F106" s="490"/>
      <c r="G106" s="490"/>
      <c r="H106" s="490"/>
      <c r="I106" s="490"/>
    </row>
    <row r="107" spans="2:10">
      <c r="B107" s="358"/>
      <c r="C107" s="490"/>
      <c r="D107" s="490"/>
      <c r="E107" s="490"/>
      <c r="F107" s="490"/>
      <c r="G107" s="490"/>
      <c r="H107" s="490"/>
      <c r="I107" s="490"/>
    </row>
    <row r="108" spans="2:10">
      <c r="B108" s="358"/>
      <c r="C108" s="490"/>
      <c r="D108" s="490"/>
      <c r="E108" s="490"/>
      <c r="F108" s="490"/>
      <c r="G108" s="490"/>
      <c r="H108" s="490"/>
      <c r="I108" s="490"/>
    </row>
    <row r="109" spans="2:10" ht="15.6">
      <c r="B109" s="86" t="s">
        <v>844</v>
      </c>
      <c r="F109" s="490"/>
      <c r="G109" s="490"/>
      <c r="H109" s="490"/>
      <c r="I109" s="490"/>
    </row>
    <row r="110" spans="2:10">
      <c r="F110" s="490"/>
      <c r="G110" s="490"/>
      <c r="H110" s="490"/>
      <c r="I110" s="490"/>
    </row>
    <row r="111" spans="2:10">
      <c r="B111" t="s">
        <v>596</v>
      </c>
      <c r="F111" s="490"/>
      <c r="G111" s="490"/>
      <c r="H111" s="490"/>
      <c r="I111" s="490"/>
    </row>
    <row r="112" spans="2:10">
      <c r="B112" t="s">
        <v>846</v>
      </c>
      <c r="F112" s="490"/>
      <c r="G112" s="490"/>
      <c r="H112" s="490"/>
      <c r="I112" s="490"/>
    </row>
    <row r="113" spans="2:11">
      <c r="B113" t="s">
        <v>847</v>
      </c>
      <c r="F113" s="490"/>
      <c r="G113" s="490"/>
      <c r="H113" s="490"/>
      <c r="I113" s="490"/>
    </row>
    <row r="114" spans="2:11">
      <c r="F114" s="490"/>
      <c r="G114" s="490"/>
      <c r="H114" s="490"/>
      <c r="I114" s="490"/>
    </row>
    <row r="115" spans="2:11">
      <c r="B115" s="159" t="s">
        <v>850</v>
      </c>
      <c r="C115" s="159"/>
      <c r="D115" s="495" t="s">
        <v>817</v>
      </c>
      <c r="E115" s="495"/>
      <c r="F115" s="490"/>
      <c r="G115" s="490"/>
      <c r="H115" s="159" t="s">
        <v>883</v>
      </c>
      <c r="I115" s="159"/>
      <c r="J115" s="495" t="s">
        <v>817</v>
      </c>
      <c r="K115" s="495"/>
    </row>
    <row r="116" spans="2:11">
      <c r="B116" s="159" t="s">
        <v>852</v>
      </c>
      <c r="C116" s="159"/>
      <c r="D116" s="162" t="s">
        <v>769</v>
      </c>
      <c r="E116" s="162" t="s">
        <v>670</v>
      </c>
      <c r="F116" s="490"/>
      <c r="G116" s="490"/>
      <c r="H116" s="500" t="s">
        <v>885</v>
      </c>
      <c r="I116" s="159"/>
      <c r="J116" s="495"/>
      <c r="K116" s="495"/>
    </row>
    <row r="117" spans="2:11">
      <c r="B117" s="159"/>
      <c r="C117" s="159"/>
      <c r="D117" s="162"/>
      <c r="E117" s="162"/>
      <c r="F117" s="490"/>
      <c r="G117" s="490"/>
      <c r="H117" s="502"/>
      <c r="I117" s="159"/>
      <c r="J117" s="162" t="s">
        <v>769</v>
      </c>
      <c r="K117" s="162" t="s">
        <v>670</v>
      </c>
    </row>
    <row r="118" spans="2:11">
      <c r="B118" s="159"/>
      <c r="C118" s="159"/>
      <c r="D118" s="162"/>
      <c r="E118" s="162"/>
      <c r="F118" s="490"/>
      <c r="G118" s="490"/>
      <c r="H118" s="502"/>
      <c r="I118" s="159"/>
      <c r="J118" s="162"/>
      <c r="K118" s="162"/>
    </row>
    <row r="119" spans="2:11">
      <c r="B119" s="159" t="s">
        <v>52</v>
      </c>
      <c r="C119" s="159"/>
      <c r="D119" s="488">
        <v>9816</v>
      </c>
      <c r="E119" s="488">
        <v>100</v>
      </c>
      <c r="F119" s="490"/>
      <c r="G119" s="490"/>
      <c r="H119" s="159" t="s">
        <v>52</v>
      </c>
      <c r="I119" s="159"/>
      <c r="J119" s="488">
        <v>11724</v>
      </c>
      <c r="K119" s="488">
        <v>100</v>
      </c>
    </row>
    <row r="120" spans="2:11">
      <c r="B120" s="399" t="s">
        <v>854</v>
      </c>
      <c r="C120" s="399"/>
      <c r="D120" s="489">
        <v>1633</v>
      </c>
      <c r="E120" s="489">
        <v>16.636104319478402</v>
      </c>
      <c r="F120" s="490"/>
      <c r="G120" s="490"/>
      <c r="H120" s="399" t="s">
        <v>854</v>
      </c>
      <c r="I120" s="399"/>
      <c r="J120" s="489">
        <v>1060</v>
      </c>
      <c r="K120" s="489">
        <v>9.1348173036539269</v>
      </c>
    </row>
    <row r="121" spans="2:11">
      <c r="B121" s="395" t="s">
        <v>855</v>
      </c>
      <c r="C121" s="395"/>
      <c r="D121" s="491">
        <v>158</v>
      </c>
      <c r="E121" s="489">
        <v>1.6096169519152406</v>
      </c>
      <c r="F121" s="490"/>
      <c r="G121" s="490"/>
      <c r="H121" s="395" t="s">
        <v>888</v>
      </c>
      <c r="I121" s="395"/>
      <c r="J121" s="491">
        <v>313</v>
      </c>
      <c r="K121" s="491">
        <v>3.079938401231975</v>
      </c>
    </row>
    <row r="122" spans="2:11">
      <c r="B122" s="395" t="s">
        <v>856</v>
      </c>
      <c r="C122" s="395"/>
      <c r="D122" s="491">
        <v>796</v>
      </c>
      <c r="E122" s="489">
        <v>8.1092094539527295</v>
      </c>
      <c r="F122" s="490"/>
      <c r="G122" s="490"/>
      <c r="H122" s="395" t="s">
        <v>855</v>
      </c>
      <c r="I122" s="395"/>
      <c r="J122" s="491">
        <v>391</v>
      </c>
      <c r="K122" s="491">
        <v>3</v>
      </c>
    </row>
    <row r="123" spans="2:11">
      <c r="B123" s="395" t="s">
        <v>857</v>
      </c>
      <c r="C123" s="395"/>
      <c r="D123" s="491">
        <v>564</v>
      </c>
      <c r="E123" s="489">
        <v>5.7457212713936432</v>
      </c>
      <c r="F123" s="490"/>
      <c r="G123" s="490"/>
      <c r="H123" s="395" t="s">
        <v>856</v>
      </c>
      <c r="I123" s="395"/>
      <c r="J123" s="491">
        <v>395</v>
      </c>
      <c r="K123" s="491">
        <v>3</v>
      </c>
    </row>
    <row r="124" spans="2:11">
      <c r="B124" s="395" t="s">
        <v>858</v>
      </c>
      <c r="C124" s="395"/>
      <c r="D124" s="491">
        <v>558</v>
      </c>
      <c r="E124" s="489">
        <v>5.684596577017115</v>
      </c>
      <c r="F124" s="490"/>
      <c r="G124" s="490"/>
      <c r="H124" s="395" t="s">
        <v>857</v>
      </c>
      <c r="I124" s="395"/>
      <c r="J124" s="491">
        <v>877</v>
      </c>
      <c r="K124" s="491">
        <v>7</v>
      </c>
    </row>
    <row r="125" spans="2:11">
      <c r="B125" s="395" t="s">
        <v>860</v>
      </c>
      <c r="C125" s="395"/>
      <c r="D125" s="491">
        <v>401</v>
      </c>
      <c r="E125" s="489">
        <v>4.0851670741646293</v>
      </c>
      <c r="F125" s="490"/>
      <c r="G125" s="490"/>
      <c r="H125" s="395" t="s">
        <v>858</v>
      </c>
      <c r="I125" s="395"/>
      <c r="J125" s="491">
        <v>536</v>
      </c>
      <c r="K125" s="491">
        <v>5</v>
      </c>
    </row>
    <row r="126" spans="2:11">
      <c r="B126" s="395" t="s">
        <v>862</v>
      </c>
      <c r="C126" s="395"/>
      <c r="D126" s="491">
        <v>327</v>
      </c>
      <c r="E126" s="489">
        <v>3.3312958435207825</v>
      </c>
      <c r="F126" s="490"/>
      <c r="G126" s="490"/>
      <c r="H126" s="395" t="s">
        <v>860</v>
      </c>
      <c r="I126" s="395"/>
      <c r="J126" s="491">
        <v>261</v>
      </c>
      <c r="K126" s="491">
        <v>2</v>
      </c>
    </row>
    <row r="127" spans="2:11">
      <c r="B127" s="395" t="s">
        <v>864</v>
      </c>
      <c r="C127" s="395"/>
      <c r="D127" s="491">
        <v>348</v>
      </c>
      <c r="E127" s="489">
        <v>3.5452322738386304</v>
      </c>
      <c r="F127" s="490"/>
      <c r="G127" s="490"/>
      <c r="H127" s="395" t="s">
        <v>862</v>
      </c>
      <c r="I127" s="395"/>
      <c r="J127" s="491">
        <v>318</v>
      </c>
      <c r="K127" s="491">
        <v>3</v>
      </c>
    </row>
    <row r="128" spans="2:11">
      <c r="B128" s="395" t="s">
        <v>865</v>
      </c>
      <c r="C128" s="395"/>
      <c r="D128" s="491">
        <v>1069</v>
      </c>
      <c r="E128" s="489">
        <v>10.890383048084759</v>
      </c>
      <c r="F128" s="490"/>
      <c r="G128" s="490"/>
      <c r="H128" s="395" t="s">
        <v>864</v>
      </c>
      <c r="I128" s="395"/>
      <c r="J128" s="491">
        <v>512</v>
      </c>
      <c r="K128" s="491">
        <v>4</v>
      </c>
    </row>
    <row r="129" spans="2:11">
      <c r="B129" s="395" t="s">
        <v>866</v>
      </c>
      <c r="C129" s="395"/>
      <c r="D129" s="491">
        <v>172</v>
      </c>
      <c r="E129" s="489">
        <v>1.7522412387938062</v>
      </c>
      <c r="F129" s="490"/>
      <c r="G129" s="490"/>
      <c r="H129" s="395" t="s">
        <v>865</v>
      </c>
      <c r="I129" s="395"/>
      <c r="J129" s="491">
        <v>2193</v>
      </c>
      <c r="K129" s="491">
        <v>19</v>
      </c>
    </row>
    <row r="130" spans="2:11">
      <c r="B130" s="395" t="s">
        <v>867</v>
      </c>
      <c r="C130" s="395"/>
      <c r="D130" s="491">
        <v>1500</v>
      </c>
      <c r="E130" s="489">
        <v>15.28117359413203</v>
      </c>
      <c r="F130" s="490"/>
      <c r="G130" s="490"/>
      <c r="H130" s="395" t="s">
        <v>899</v>
      </c>
      <c r="I130" s="395"/>
      <c r="J130" s="491">
        <v>319</v>
      </c>
      <c r="K130" s="491">
        <v>3</v>
      </c>
    </row>
    <row r="131" spans="2:11">
      <c r="B131" s="395" t="s">
        <v>869</v>
      </c>
      <c r="C131" s="395"/>
      <c r="D131" s="491">
        <v>728</v>
      </c>
      <c r="E131" s="489">
        <v>7.4164629176854113</v>
      </c>
      <c r="F131" s="490"/>
      <c r="G131" s="490"/>
      <c r="H131" s="395" t="s">
        <v>866</v>
      </c>
      <c r="I131" s="395"/>
      <c r="J131" s="491">
        <v>379</v>
      </c>
      <c r="K131" s="491">
        <v>3</v>
      </c>
    </row>
    <row r="132" spans="2:11">
      <c r="B132" s="395" t="s">
        <v>871</v>
      </c>
      <c r="C132" s="395"/>
      <c r="D132" s="491">
        <v>1562</v>
      </c>
      <c r="E132" s="489">
        <v>15.912795436022819</v>
      </c>
      <c r="F132" s="490"/>
      <c r="G132" s="490"/>
      <c r="H132" s="395" t="s">
        <v>867</v>
      </c>
      <c r="I132" s="395"/>
      <c r="J132" s="491">
        <v>365</v>
      </c>
      <c r="K132" s="491">
        <v>3</v>
      </c>
    </row>
    <row r="133" spans="2:11">
      <c r="B133" s="87" t="s">
        <v>875</v>
      </c>
      <c r="C133" s="87"/>
      <c r="D133" s="87"/>
      <c r="E133" s="87"/>
      <c r="F133" s="490"/>
      <c r="G133" s="490"/>
      <c r="H133" s="395" t="s">
        <v>869</v>
      </c>
      <c r="I133" s="395"/>
      <c r="J133" s="491">
        <v>1927</v>
      </c>
      <c r="K133" s="491">
        <v>16</v>
      </c>
    </row>
    <row r="134" spans="2:11">
      <c r="B134" s="87"/>
      <c r="C134" s="87"/>
      <c r="D134" s="87"/>
      <c r="E134" s="87"/>
      <c r="F134" s="490"/>
      <c r="G134" s="490"/>
      <c r="H134" s="395" t="s">
        <v>901</v>
      </c>
      <c r="I134" s="395"/>
      <c r="J134" s="491">
        <v>1878</v>
      </c>
      <c r="K134" s="491">
        <v>16</v>
      </c>
    </row>
    <row r="135" spans="2:11">
      <c r="F135" s="490"/>
      <c r="G135" s="490"/>
      <c r="H135" s="87" t="s">
        <v>902</v>
      </c>
      <c r="I135" s="82"/>
      <c r="J135" s="504"/>
    </row>
    <row r="136" spans="2:11">
      <c r="F136" s="490"/>
      <c r="G136" s="490"/>
      <c r="H136" s="41" t="s">
        <v>903</v>
      </c>
      <c r="I136" s="82"/>
      <c r="J136" s="82"/>
    </row>
    <row r="137" spans="2:11">
      <c r="B137" s="290"/>
      <c r="F137" s="490"/>
      <c r="G137" s="490"/>
      <c r="H137" s="490"/>
      <c r="I137" s="490"/>
    </row>
    <row r="138" spans="2:11">
      <c r="B138" s="290" t="s">
        <v>596</v>
      </c>
      <c r="C138" s="490"/>
      <c r="D138" s="490"/>
      <c r="E138" s="490"/>
      <c r="F138" s="490"/>
      <c r="G138" s="490"/>
      <c r="H138" s="490"/>
      <c r="I138" s="490"/>
    </row>
    <row r="139" spans="2:11">
      <c r="B139" s="290" t="s">
        <v>879</v>
      </c>
      <c r="C139" s="490"/>
      <c r="D139" s="490"/>
      <c r="E139" s="490"/>
      <c r="F139" s="490"/>
      <c r="G139" s="490"/>
      <c r="H139" s="490"/>
      <c r="I139" s="490"/>
    </row>
    <row r="141" spans="2:11" ht="15.6">
      <c r="B141" s="86" t="s">
        <v>2043</v>
      </c>
    </row>
    <row r="142" spans="2:11">
      <c r="B142" s="81" t="s">
        <v>904</v>
      </c>
    </row>
    <row r="143" spans="2:11">
      <c r="B143" s="162"/>
      <c r="C143" s="162">
        <v>2023</v>
      </c>
      <c r="D143" s="162">
        <v>2021</v>
      </c>
      <c r="E143" s="162">
        <v>2019</v>
      </c>
      <c r="F143" s="162">
        <v>2017</v>
      </c>
      <c r="G143" s="162">
        <v>2015</v>
      </c>
      <c r="H143" s="162">
        <v>2013</v>
      </c>
      <c r="I143" s="162">
        <v>2011</v>
      </c>
    </row>
    <row r="144" spans="2:11">
      <c r="B144" s="290" t="s">
        <v>2</v>
      </c>
      <c r="C144" s="1038">
        <v>2741</v>
      </c>
      <c r="D144" s="490">
        <f>94+163+155+198+148+421+161+165+243+364+269+379</f>
        <v>2760</v>
      </c>
      <c r="E144" s="490">
        <v>2936</v>
      </c>
      <c r="F144" s="490">
        <v>3308</v>
      </c>
      <c r="G144" s="490">
        <v>3678</v>
      </c>
      <c r="H144" s="490">
        <v>4154</v>
      </c>
      <c r="I144" s="490">
        <v>4504</v>
      </c>
    </row>
    <row r="145" spans="2:16">
      <c r="B145" s="496" t="s">
        <v>905</v>
      </c>
      <c r="C145" s="162"/>
      <c r="D145" s="162"/>
      <c r="E145" s="162"/>
      <c r="F145" s="162"/>
      <c r="G145" s="162"/>
      <c r="H145" s="162"/>
      <c r="I145" s="162"/>
    </row>
    <row r="146" spans="2:16">
      <c r="B146" s="399" t="s">
        <v>906</v>
      </c>
      <c r="C146" s="1039">
        <v>1760</v>
      </c>
      <c r="D146" s="492">
        <v>1617</v>
      </c>
      <c r="E146" s="492">
        <v>1419</v>
      </c>
      <c r="F146" s="492">
        <v>1417</v>
      </c>
      <c r="G146" s="492">
        <v>1436</v>
      </c>
      <c r="H146" s="492">
        <v>1584.97</v>
      </c>
      <c r="I146" s="492">
        <v>1644.104</v>
      </c>
    </row>
    <row r="147" spans="2:16">
      <c r="B147" s="395" t="s">
        <v>907</v>
      </c>
      <c r="C147" s="1040">
        <v>1462</v>
      </c>
      <c r="D147" s="493">
        <v>1377</v>
      </c>
      <c r="E147" s="493">
        <v>1178</v>
      </c>
      <c r="F147" s="493">
        <v>1238</v>
      </c>
      <c r="G147" s="493">
        <v>1255</v>
      </c>
      <c r="H147" s="493">
        <v>1318.8409999999999</v>
      </c>
      <c r="I147" s="493">
        <v>1452.2670000000001</v>
      </c>
    </row>
    <row r="148" spans="2:16">
      <c r="B148" s="193" t="s">
        <v>2042</v>
      </c>
      <c r="C148" s="290"/>
      <c r="D148" s="481"/>
      <c r="E148" s="494"/>
      <c r="F148" s="494"/>
    </row>
    <row r="149" spans="2:16">
      <c r="B149" s="503"/>
      <c r="C149" s="290"/>
      <c r="D149" s="290"/>
      <c r="E149" s="490"/>
      <c r="F149" s="490"/>
    </row>
    <row r="152" spans="2:16" ht="17.399999999999999">
      <c r="G152" s="286" t="s">
        <v>2044</v>
      </c>
      <c r="P152" s="286"/>
    </row>
    <row r="156" spans="2:16">
      <c r="C156">
        <v>2019</v>
      </c>
      <c r="D156">
        <v>2021</v>
      </c>
      <c r="E156">
        <v>2023</v>
      </c>
    </row>
    <row r="157" spans="2:16">
      <c r="B157" s="395" t="s">
        <v>913</v>
      </c>
      <c r="E157">
        <v>14</v>
      </c>
    </row>
    <row r="158" spans="2:16">
      <c r="B158" t="s">
        <v>39</v>
      </c>
      <c r="C158">
        <v>21</v>
      </c>
      <c r="D158">
        <v>17</v>
      </c>
      <c r="E158">
        <v>18</v>
      </c>
    </row>
    <row r="159" spans="2:16">
      <c r="B159" t="s">
        <v>908</v>
      </c>
      <c r="C159">
        <v>28</v>
      </c>
      <c r="D159">
        <v>31</v>
      </c>
      <c r="E159">
        <v>25</v>
      </c>
    </row>
    <row r="160" spans="2:16">
      <c r="B160" t="s">
        <v>909</v>
      </c>
      <c r="C160">
        <v>68</v>
      </c>
      <c r="D160">
        <v>69</v>
      </c>
      <c r="E160">
        <v>69</v>
      </c>
    </row>
    <row r="161" spans="2:5">
      <c r="B161" t="s">
        <v>149</v>
      </c>
      <c r="C161">
        <v>93</v>
      </c>
      <c r="D161">
        <v>94</v>
      </c>
      <c r="E161">
        <v>106</v>
      </c>
    </row>
    <row r="162" spans="2:5">
      <c r="B162" t="s">
        <v>53</v>
      </c>
      <c r="C162">
        <v>85</v>
      </c>
      <c r="D162">
        <v>100</v>
      </c>
      <c r="E162">
        <v>137</v>
      </c>
    </row>
    <row r="163" spans="2:5">
      <c r="B163" t="s">
        <v>129</v>
      </c>
      <c r="C163">
        <v>118</v>
      </c>
      <c r="D163">
        <v>119</v>
      </c>
      <c r="E163">
        <v>130</v>
      </c>
    </row>
    <row r="164" spans="2:5">
      <c r="B164" t="s">
        <v>64</v>
      </c>
      <c r="C164">
        <v>236</v>
      </c>
      <c r="D164">
        <v>222</v>
      </c>
      <c r="E164">
        <v>180</v>
      </c>
    </row>
    <row r="165" spans="2:5">
      <c r="B165" t="s">
        <v>61</v>
      </c>
      <c r="C165">
        <v>279</v>
      </c>
      <c r="D165">
        <v>315</v>
      </c>
      <c r="E165">
        <v>282</v>
      </c>
    </row>
    <row r="166" spans="2:5">
      <c r="B166" t="s">
        <v>70</v>
      </c>
      <c r="C166">
        <v>491</v>
      </c>
      <c r="D166">
        <v>585</v>
      </c>
      <c r="E166">
        <v>527</v>
      </c>
    </row>
    <row r="177" spans="2:15" ht="17.399999999999999">
      <c r="B177" s="286" t="s">
        <v>910</v>
      </c>
      <c r="C177" s="286"/>
    </row>
    <row r="178" spans="2:15">
      <c r="B178" s="81" t="s">
        <v>911</v>
      </c>
    </row>
    <row r="179" spans="2:15">
      <c r="B179" s="162"/>
      <c r="C179" s="162">
        <v>2023</v>
      </c>
      <c r="D179" s="162">
        <v>2021</v>
      </c>
      <c r="E179" s="162">
        <v>2019</v>
      </c>
      <c r="F179" s="162">
        <v>2017</v>
      </c>
      <c r="G179" s="162">
        <v>2015</v>
      </c>
      <c r="H179" s="162">
        <v>2013</v>
      </c>
      <c r="I179" s="162">
        <v>2011</v>
      </c>
    </row>
    <row r="180" spans="2:15">
      <c r="B180" s="399" t="s">
        <v>61</v>
      </c>
      <c r="C180" s="505">
        <v>282</v>
      </c>
      <c r="D180" s="1087">
        <v>315</v>
      </c>
      <c r="E180" s="645">
        <v>279</v>
      </c>
      <c r="F180" s="492">
        <v>290</v>
      </c>
      <c r="G180" s="492">
        <v>294</v>
      </c>
      <c r="H180" s="492">
        <v>332.69400000000002</v>
      </c>
      <c r="I180" s="492">
        <v>372.87700000000001</v>
      </c>
      <c r="J180" s="506"/>
      <c r="K180" s="506"/>
    </row>
    <row r="181" spans="2:15">
      <c r="B181" s="395" t="s">
        <v>64</v>
      </c>
      <c r="C181" s="1088">
        <v>180</v>
      </c>
      <c r="D181" s="1410">
        <v>222</v>
      </c>
      <c r="E181" s="1087">
        <v>236</v>
      </c>
      <c r="F181" s="493">
        <v>239</v>
      </c>
      <c r="G181" s="493">
        <v>254</v>
      </c>
      <c r="H181" s="493">
        <v>282.923</v>
      </c>
      <c r="I181" s="493">
        <v>284.096</v>
      </c>
      <c r="J181" s="506"/>
      <c r="K181" s="506"/>
      <c r="M181" s="267"/>
    </row>
    <row r="182" spans="2:15">
      <c r="B182" s="395" t="s">
        <v>912</v>
      </c>
      <c r="C182" s="1088">
        <v>25</v>
      </c>
      <c r="D182" s="1410">
        <v>14</v>
      </c>
      <c r="E182" s="1087">
        <v>16.8</v>
      </c>
      <c r="F182" s="493">
        <v>21</v>
      </c>
      <c r="G182" s="493">
        <v>21.670999999999999</v>
      </c>
      <c r="H182" s="493">
        <v>16.93</v>
      </c>
      <c r="I182" s="493">
        <v>20.474</v>
      </c>
      <c r="J182" s="506"/>
      <c r="K182" s="506"/>
      <c r="M182" s="267"/>
    </row>
    <row r="183" spans="2:15">
      <c r="B183" s="395" t="s">
        <v>913</v>
      </c>
      <c r="C183" s="505">
        <v>14</v>
      </c>
      <c r="D183" s="1087">
        <v>17</v>
      </c>
      <c r="E183" s="1087">
        <v>11.2</v>
      </c>
      <c r="F183" s="493">
        <v>14</v>
      </c>
      <c r="G183" s="493">
        <v>13.555999999999999</v>
      </c>
      <c r="H183" s="493">
        <v>17.346</v>
      </c>
      <c r="I183" s="493">
        <v>23.952000000000002</v>
      </c>
      <c r="J183" s="506"/>
      <c r="K183" s="506"/>
    </row>
    <row r="184" spans="2:15">
      <c r="B184" s="395" t="s">
        <v>70</v>
      </c>
      <c r="C184" s="505">
        <v>527</v>
      </c>
      <c r="D184" s="1087">
        <v>585</v>
      </c>
      <c r="E184" s="1087">
        <v>491</v>
      </c>
      <c r="F184" s="493">
        <v>482</v>
      </c>
      <c r="G184" s="493">
        <v>485</v>
      </c>
      <c r="H184" s="493">
        <v>536.40499999999997</v>
      </c>
      <c r="I184" s="493">
        <v>552.50199999999995</v>
      </c>
      <c r="J184" s="506"/>
      <c r="K184" s="506"/>
    </row>
    <row r="185" spans="2:15">
      <c r="B185" s="395" t="s">
        <v>914</v>
      </c>
      <c r="C185" s="505">
        <v>69</v>
      </c>
      <c r="D185" s="1087">
        <v>69</v>
      </c>
      <c r="E185" s="1087">
        <v>68</v>
      </c>
      <c r="F185" s="493">
        <v>53</v>
      </c>
      <c r="G185" s="493">
        <v>49.643999999999998</v>
      </c>
      <c r="H185" s="493">
        <v>56.301000000000002</v>
      </c>
      <c r="I185" s="493">
        <v>55.921999999999997</v>
      </c>
      <c r="J185" s="506"/>
      <c r="K185" s="506"/>
    </row>
    <row r="186" spans="2:15">
      <c r="B186" s="395" t="s">
        <v>72</v>
      </c>
      <c r="C186" s="505">
        <v>106</v>
      </c>
      <c r="D186" s="1087">
        <v>94</v>
      </c>
      <c r="E186" s="1087">
        <v>93</v>
      </c>
      <c r="F186" s="493">
        <v>83</v>
      </c>
      <c r="G186" s="493">
        <v>80</v>
      </c>
      <c r="H186" s="493">
        <v>79.778000000000006</v>
      </c>
      <c r="I186" s="493">
        <v>69.501999999999995</v>
      </c>
      <c r="J186" s="506"/>
      <c r="K186" s="506"/>
    </row>
    <row r="187" spans="2:15">
      <c r="B187" s="395" t="s">
        <v>53</v>
      </c>
      <c r="C187" s="505">
        <v>137</v>
      </c>
      <c r="D187" s="1087">
        <v>100</v>
      </c>
      <c r="E187" s="1087">
        <v>85</v>
      </c>
      <c r="F187" s="493">
        <v>87</v>
      </c>
      <c r="G187" s="493">
        <v>98.114000000000004</v>
      </c>
      <c r="H187" s="493">
        <v>131.40299999999999</v>
      </c>
      <c r="I187" s="493">
        <v>142.495</v>
      </c>
      <c r="J187" s="506"/>
      <c r="K187" s="506"/>
      <c r="O187" s="290"/>
    </row>
    <row r="188" spans="2:15">
      <c r="B188" s="395" t="s">
        <v>39</v>
      </c>
      <c r="C188" s="505">
        <v>18</v>
      </c>
      <c r="D188" s="1087">
        <v>17</v>
      </c>
      <c r="E188" s="1087">
        <v>21</v>
      </c>
      <c r="F188" s="493">
        <v>21</v>
      </c>
      <c r="G188" s="493">
        <v>22</v>
      </c>
      <c r="H188" s="493">
        <v>21.227</v>
      </c>
      <c r="I188" s="493">
        <v>24.466999999999999</v>
      </c>
      <c r="J188" s="506"/>
      <c r="K188" s="506"/>
    </row>
    <row r="189" spans="2:15">
      <c r="B189" s="481" t="s">
        <v>129</v>
      </c>
      <c r="C189" s="484">
        <v>130</v>
      </c>
      <c r="D189" s="645">
        <v>119</v>
      </c>
      <c r="E189" s="645">
        <v>118</v>
      </c>
      <c r="F189" s="494">
        <v>126</v>
      </c>
      <c r="G189" s="494">
        <v>119</v>
      </c>
      <c r="H189" s="494">
        <v>109.96299999999999</v>
      </c>
      <c r="I189" s="494">
        <v>97.816999999999993</v>
      </c>
      <c r="J189" s="506"/>
      <c r="K189" s="506"/>
    </row>
    <row r="190" spans="2:15">
      <c r="B190" s="483" t="s">
        <v>3</v>
      </c>
      <c r="C190" s="484">
        <f>C189+C188+C187+C186+C185+C184+C183+C182+C181+C180</f>
        <v>1488</v>
      </c>
      <c r="D190" s="484">
        <f>D189+D188+D187+D186+D185+D184+D183+D182+D181+D180</f>
        <v>1552</v>
      </c>
      <c r="E190" s="484">
        <v>1419</v>
      </c>
      <c r="F190" s="484">
        <v>1417</v>
      </c>
      <c r="G190" s="484">
        <v>1436</v>
      </c>
      <c r="H190" s="484">
        <v>1584.97</v>
      </c>
      <c r="I190" s="484">
        <v>1644.104</v>
      </c>
      <c r="J190" s="506"/>
      <c r="K190" s="506"/>
    </row>
    <row r="191" spans="2:15">
      <c r="B191" s="193" t="s">
        <v>2042</v>
      </c>
    </row>
    <row r="192" spans="2:15">
      <c r="D192" s="267"/>
    </row>
    <row r="193" spans="2:9" ht="17.399999999999999">
      <c r="B193" s="286" t="s">
        <v>2045</v>
      </c>
      <c r="C193" s="490"/>
      <c r="D193" s="290"/>
    </row>
    <row r="194" spans="2:9">
      <c r="B194" s="81" t="s">
        <v>915</v>
      </c>
      <c r="C194" s="490"/>
      <c r="D194" s="290"/>
      <c r="E194" s="490"/>
    </row>
    <row r="195" spans="2:9">
      <c r="B195" s="162"/>
      <c r="C195" s="162"/>
      <c r="D195" s="162"/>
      <c r="E195" s="490"/>
    </row>
    <row r="196" spans="2:9">
      <c r="B196" s="496" t="s">
        <v>876</v>
      </c>
      <c r="C196" s="162"/>
      <c r="D196" s="162" t="s">
        <v>818</v>
      </c>
      <c r="E196" s="490"/>
      <c r="I196" s="490"/>
    </row>
    <row r="197" spans="2:9">
      <c r="B197" s="399" t="s">
        <v>896</v>
      </c>
      <c r="C197" s="492">
        <v>403356</v>
      </c>
      <c r="D197" s="492">
        <f t="shared" ref="D197:D207" si="3">D198/C198*C197</f>
        <v>22.91481677792985</v>
      </c>
      <c r="E197" s="490"/>
      <c r="I197" s="490"/>
    </row>
    <row r="198" spans="2:9">
      <c r="B198" s="399" t="s">
        <v>882</v>
      </c>
      <c r="C198" s="493">
        <v>292293</v>
      </c>
      <c r="D198" s="492">
        <f t="shared" si="3"/>
        <v>16.605283026585571</v>
      </c>
      <c r="E198" s="490"/>
      <c r="I198" s="490"/>
    </row>
    <row r="199" spans="2:9">
      <c r="B199" s="399" t="s">
        <v>880</v>
      </c>
      <c r="C199" s="493">
        <v>188207</v>
      </c>
      <c r="D199" s="492">
        <f t="shared" si="3"/>
        <v>10.692115454645135</v>
      </c>
      <c r="E199" s="490"/>
      <c r="I199" s="490"/>
    </row>
    <row r="200" spans="2:9" ht="16.2">
      <c r="B200" s="481" t="s">
        <v>884</v>
      </c>
      <c r="C200" s="493">
        <v>143384</v>
      </c>
      <c r="D200" s="492">
        <f t="shared" si="3"/>
        <v>8.1457027759267078</v>
      </c>
      <c r="E200" s="490"/>
      <c r="I200" s="490"/>
    </row>
    <row r="201" spans="2:9">
      <c r="B201" s="395" t="s">
        <v>881</v>
      </c>
      <c r="C201" s="492">
        <v>107486</v>
      </c>
      <c r="D201" s="492">
        <f t="shared" si="3"/>
        <v>6.1063229410063746</v>
      </c>
      <c r="E201" s="490"/>
      <c r="I201" s="490"/>
    </row>
    <row r="202" spans="2:9">
      <c r="B202" s="399" t="s">
        <v>895</v>
      </c>
      <c r="C202" s="493">
        <v>110777</v>
      </c>
      <c r="D202" s="492">
        <f t="shared" si="3"/>
        <v>6.2932859761816715</v>
      </c>
      <c r="E202" s="490"/>
      <c r="I202" s="490"/>
    </row>
    <row r="203" spans="2:9">
      <c r="B203" s="399" t="s">
        <v>897</v>
      </c>
      <c r="C203" s="493">
        <v>72280</v>
      </c>
      <c r="D203" s="492">
        <f t="shared" si="3"/>
        <v>4.1062559047312277</v>
      </c>
      <c r="E203" s="490"/>
      <c r="I203" s="490"/>
    </row>
    <row r="204" spans="2:9">
      <c r="B204" s="399" t="s">
        <v>893</v>
      </c>
      <c r="C204" s="492">
        <v>82235</v>
      </c>
      <c r="D204" s="492">
        <f t="shared" si="3"/>
        <v>4.6718034632757677</v>
      </c>
      <c r="E204" s="490"/>
      <c r="I204" s="490"/>
    </row>
    <row r="205" spans="2:9">
      <c r="B205" s="399" t="s">
        <v>877</v>
      </c>
      <c r="C205" s="492">
        <v>126487</v>
      </c>
      <c r="D205" s="492">
        <f t="shared" si="3"/>
        <v>7.1857774020716487</v>
      </c>
      <c r="E205" s="490"/>
      <c r="I205" s="490"/>
    </row>
    <row r="206" spans="2:9">
      <c r="B206" s="395" t="s">
        <v>898</v>
      </c>
      <c r="C206" s="493">
        <v>47866</v>
      </c>
      <c r="D206" s="492">
        <f t="shared" si="3"/>
        <v>2.7192867340324423</v>
      </c>
      <c r="E206" s="490"/>
      <c r="I206" s="490"/>
    </row>
    <row r="207" spans="2:9">
      <c r="B207" s="395" t="s">
        <v>894</v>
      </c>
      <c r="C207" s="493">
        <v>112042</v>
      </c>
      <c r="D207" s="492">
        <f t="shared" si="3"/>
        <v>6.3651511355547337</v>
      </c>
      <c r="E207" s="490"/>
      <c r="I207" s="490"/>
    </row>
    <row r="208" spans="2:9">
      <c r="B208" s="481" t="s">
        <v>878</v>
      </c>
      <c r="C208" s="494">
        <v>73828</v>
      </c>
      <c r="D208" s="492">
        <f>D209/C209*C208</f>
        <v>4.1941984080588961</v>
      </c>
      <c r="E208" s="490"/>
      <c r="I208" s="490"/>
    </row>
    <row r="209" spans="2:9">
      <c r="B209" s="496" t="s">
        <v>52</v>
      </c>
      <c r="C209" s="1411">
        <f>C197+C198+C199+C200+C201+C202+C203+C204+C205+C206+C207+C208</f>
        <v>1760241</v>
      </c>
      <c r="D209" s="492">
        <v>100</v>
      </c>
      <c r="E209" s="490"/>
      <c r="I209" s="490"/>
    </row>
    <row r="210" spans="2:9">
      <c r="B210" s="501" t="s">
        <v>916</v>
      </c>
      <c r="E210" s="490"/>
      <c r="I210" s="490"/>
    </row>
    <row r="211" spans="2:9">
      <c r="B211" s="503" t="s">
        <v>2042</v>
      </c>
    </row>
    <row r="213" spans="2:9">
      <c r="B213" s="1037"/>
    </row>
    <row r="214" spans="2:9">
      <c r="B214" s="1037"/>
      <c r="F214" s="1037"/>
    </row>
    <row r="215" spans="2:9" ht="17.399999999999999">
      <c r="B215" s="286" t="s">
        <v>1841</v>
      </c>
      <c r="C215" s="490"/>
      <c r="D215" s="290"/>
      <c r="F215" s="1037"/>
    </row>
    <row r="216" spans="2:9">
      <c r="B216" s="81" t="s">
        <v>915</v>
      </c>
      <c r="C216" s="490"/>
      <c r="D216" s="290"/>
      <c r="F216" s="1037"/>
    </row>
    <row r="217" spans="2:9">
      <c r="B217" s="162"/>
      <c r="C217" s="162"/>
      <c r="D217" s="162"/>
      <c r="F217" s="1037"/>
    </row>
    <row r="218" spans="2:9">
      <c r="B218" s="496" t="s">
        <v>876</v>
      </c>
      <c r="C218" s="162"/>
      <c r="D218" s="162" t="s">
        <v>818</v>
      </c>
      <c r="F218" s="1037"/>
    </row>
    <row r="219" spans="2:9">
      <c r="B219" s="399" t="s">
        <v>896</v>
      </c>
      <c r="C219" s="492">
        <v>391422</v>
      </c>
      <c r="D219" s="492">
        <f t="shared" ref="D219:D229" si="4">D220/C220*C219</f>
        <v>24.208790005807554</v>
      </c>
      <c r="F219" s="1037"/>
    </row>
    <row r="220" spans="2:9">
      <c r="B220" s="399" t="s">
        <v>882</v>
      </c>
      <c r="C220" s="493">
        <v>220985</v>
      </c>
      <c r="D220" s="492">
        <f t="shared" si="4"/>
        <v>13.667549242079859</v>
      </c>
      <c r="F220" s="1037"/>
    </row>
    <row r="221" spans="2:9">
      <c r="B221" s="399" t="s">
        <v>880</v>
      </c>
      <c r="C221" s="493">
        <v>166894</v>
      </c>
      <c r="D221" s="492">
        <f t="shared" si="4"/>
        <v>10.322112194075055</v>
      </c>
      <c r="F221" s="1037"/>
    </row>
    <row r="222" spans="2:9" ht="16.2">
      <c r="B222" s="481" t="s">
        <v>884</v>
      </c>
      <c r="C222" s="493">
        <v>130696</v>
      </c>
      <c r="D222" s="492">
        <f t="shared" si="4"/>
        <v>8.0833269938813466</v>
      </c>
      <c r="F222" s="1037"/>
    </row>
    <row r="223" spans="2:9">
      <c r="B223" s="395" t="s">
        <v>881</v>
      </c>
      <c r="C223" s="492">
        <v>107575</v>
      </c>
      <c r="D223" s="492">
        <f t="shared" si="4"/>
        <v>6.6533321705850659</v>
      </c>
      <c r="F223" s="1037"/>
    </row>
    <row r="224" spans="2:9">
      <c r="B224" s="399" t="s">
        <v>895</v>
      </c>
      <c r="C224" s="493">
        <v>118033</v>
      </c>
      <c r="D224" s="492">
        <f t="shared" si="4"/>
        <v>7.3001418181795685</v>
      </c>
      <c r="F224" s="1037"/>
    </row>
    <row r="225" spans="2:7">
      <c r="B225" s="399" t="s">
        <v>897</v>
      </c>
      <c r="C225" s="493">
        <v>89386</v>
      </c>
      <c r="D225" s="492">
        <f t="shared" si="4"/>
        <v>5.5283732224022009</v>
      </c>
      <c r="F225" s="1037"/>
    </row>
    <row r="226" spans="2:7">
      <c r="B226" s="399" t="s">
        <v>893</v>
      </c>
      <c r="C226" s="492">
        <v>84767</v>
      </c>
      <c r="D226" s="492">
        <f t="shared" si="4"/>
        <v>5.2426958689656917</v>
      </c>
      <c r="F226" s="1037"/>
    </row>
    <row r="227" spans="2:7">
      <c r="B227" s="399" t="s">
        <v>877</v>
      </c>
      <c r="C227" s="492">
        <v>114675</v>
      </c>
      <c r="D227" s="492">
        <f t="shared" si="4"/>
        <v>7.0924551862592837</v>
      </c>
      <c r="F227" s="1037"/>
    </row>
    <row r="228" spans="2:7">
      <c r="B228" s="395" t="s">
        <v>898</v>
      </c>
      <c r="C228" s="493">
        <v>61116</v>
      </c>
      <c r="D228" s="492">
        <f t="shared" si="4"/>
        <v>3.7799214402740127</v>
      </c>
      <c r="F228" s="1037"/>
    </row>
    <row r="229" spans="2:7">
      <c r="B229" s="395" t="s">
        <v>894</v>
      </c>
      <c r="C229" s="493">
        <v>62549</v>
      </c>
      <c r="D229" s="492">
        <f t="shared" si="4"/>
        <v>3.8685500714657244</v>
      </c>
      <c r="F229" s="1037"/>
    </row>
    <row r="230" spans="2:7">
      <c r="B230" s="481" t="s">
        <v>878</v>
      </c>
      <c r="C230" s="494">
        <v>68761</v>
      </c>
      <c r="D230" s="492">
        <f>D231/C231*C230</f>
        <v>4.2527517860246311</v>
      </c>
      <c r="F230" s="1037"/>
    </row>
    <row r="231" spans="2:7">
      <c r="B231" s="496" t="s">
        <v>52</v>
      </c>
      <c r="C231" s="1411">
        <f>C219+C220+C221+C222+C223+C224+C225+C226+C227+C228+C229+C230</f>
        <v>1616859</v>
      </c>
      <c r="D231" s="492">
        <v>100</v>
      </c>
      <c r="F231" s="1037"/>
    </row>
    <row r="232" spans="2:7">
      <c r="B232" s="501" t="s">
        <v>916</v>
      </c>
      <c r="F232" s="1037"/>
    </row>
    <row r="233" spans="2:7">
      <c r="B233" s="503" t="s">
        <v>1839</v>
      </c>
    </row>
    <row r="234" spans="2:7">
      <c r="B234" s="1037"/>
    </row>
    <row r="236" spans="2:7" ht="17.399999999999999">
      <c r="B236" s="286" t="s">
        <v>917</v>
      </c>
    </row>
    <row r="238" spans="2:7">
      <c r="B238" s="413" t="s">
        <v>2108</v>
      </c>
      <c r="C238" s="414"/>
      <c r="D238" s="414"/>
      <c r="E238" s="414"/>
      <c r="F238" s="414"/>
      <c r="G238" s="415"/>
    </row>
    <row r="239" spans="2:7" ht="103.8" customHeight="1">
      <c r="B239" s="416" t="s">
        <v>780</v>
      </c>
      <c r="C239" s="416"/>
      <c r="D239" s="439">
        <v>82224.612999999983</v>
      </c>
      <c r="E239" s="418" t="s">
        <v>781</v>
      </c>
      <c r="F239" s="440">
        <v>54716.805999999968</v>
      </c>
      <c r="G239" s="418" t="s">
        <v>2132</v>
      </c>
    </row>
    <row r="240" spans="2:7" ht="34.5" customHeight="1">
      <c r="B240" s="419"/>
      <c r="C240" s="419"/>
      <c r="D240" s="438"/>
      <c r="E240" s="418" t="s">
        <v>782</v>
      </c>
      <c r="F240" s="440">
        <v>23374.956999999999</v>
      </c>
      <c r="G240" s="418" t="s">
        <v>2133</v>
      </c>
    </row>
    <row r="241" spans="2:7" ht="65.400000000000006" customHeight="1">
      <c r="B241" s="508" t="s">
        <v>1633</v>
      </c>
      <c r="C241" s="508"/>
      <c r="D241" s="439">
        <v>22466.369999999988</v>
      </c>
      <c r="E241" s="418" t="s">
        <v>1634</v>
      </c>
      <c r="F241" s="440">
        <v>18567.632999999994</v>
      </c>
      <c r="G241" s="418" t="s">
        <v>2134</v>
      </c>
    </row>
    <row r="242" spans="2:7" ht="34.5" customHeight="1">
      <c r="B242" s="422"/>
      <c r="C242" s="422"/>
      <c r="D242" s="440"/>
      <c r="E242" s="418" t="s">
        <v>1635</v>
      </c>
      <c r="F242" s="440">
        <v>3898.7370000000005</v>
      </c>
      <c r="G242" s="418" t="s">
        <v>2135</v>
      </c>
    </row>
    <row r="243" spans="2:7" ht="70.8" customHeight="1">
      <c r="B243" s="508" t="s">
        <v>783</v>
      </c>
      <c r="C243" s="508"/>
      <c r="D243" s="439">
        <v>11643.271999999994</v>
      </c>
      <c r="E243" s="418" t="s">
        <v>784</v>
      </c>
      <c r="F243" s="440">
        <v>6184.6360000000004</v>
      </c>
      <c r="G243" s="418" t="s">
        <v>2136</v>
      </c>
    </row>
    <row r="244" spans="2:7" ht="51" customHeight="1">
      <c r="B244" s="422"/>
      <c r="C244" s="422"/>
      <c r="D244" s="440"/>
      <c r="E244" s="418" t="s">
        <v>785</v>
      </c>
      <c r="F244" s="440">
        <v>5458.6360000000013</v>
      </c>
      <c r="G244" s="418" t="s">
        <v>2137</v>
      </c>
    </row>
    <row r="245" spans="2:7" ht="91.95" customHeight="1">
      <c r="B245" s="508" t="s">
        <v>786</v>
      </c>
      <c r="C245" s="508"/>
      <c r="D245" s="439">
        <v>6492.7659999999996</v>
      </c>
      <c r="E245" s="418" t="s">
        <v>788</v>
      </c>
      <c r="F245" s="440">
        <v>5766.0519999999988</v>
      </c>
      <c r="G245" s="418" t="s">
        <v>2138</v>
      </c>
    </row>
    <row r="246" spans="2:7" ht="80.55" customHeight="1">
      <c r="B246" s="416"/>
      <c r="C246" s="416"/>
      <c r="D246" s="439"/>
      <c r="E246" s="423" t="s">
        <v>787</v>
      </c>
      <c r="F246" s="439">
        <v>726.71400000000028</v>
      </c>
      <c r="G246" s="424" t="s">
        <v>2139</v>
      </c>
    </row>
    <row r="247" spans="2:7">
      <c r="B247" s="425" t="s">
        <v>3</v>
      </c>
      <c r="C247" s="426"/>
      <c r="D247" s="509">
        <v>122827.02099999998</v>
      </c>
      <c r="E247" s="428"/>
      <c r="F247" s="443"/>
      <c r="G247" s="428"/>
    </row>
    <row r="248" spans="2:7" ht="34.5" customHeight="1">
      <c r="B248" s="429"/>
      <c r="C248" s="429"/>
      <c r="D248" s="430"/>
      <c r="E248" s="431"/>
      <c r="F248" s="432"/>
      <c r="G248" s="433"/>
    </row>
    <row r="249" spans="2:7">
      <c r="B249" s="413" t="s">
        <v>2109</v>
      </c>
      <c r="C249" s="414"/>
      <c r="D249" s="434"/>
      <c r="E249" s="414"/>
      <c r="F249" s="434"/>
      <c r="G249" s="435"/>
    </row>
    <row r="250" spans="2:7" ht="34.5" customHeight="1">
      <c r="B250" s="416" t="s">
        <v>780</v>
      </c>
      <c r="C250" s="416"/>
      <c r="D250" s="436">
        <v>609386.26100000017</v>
      </c>
      <c r="E250" s="418" t="s">
        <v>781</v>
      </c>
      <c r="F250" s="437">
        <v>564255.41600000008</v>
      </c>
      <c r="G250" s="418" t="s">
        <v>2140</v>
      </c>
    </row>
    <row r="251" spans="2:7" ht="22.8">
      <c r="B251" s="419"/>
      <c r="C251" s="419"/>
      <c r="D251" s="438"/>
      <c r="E251" s="418" t="s">
        <v>918</v>
      </c>
      <c r="F251" s="437">
        <v>26939.131000000001</v>
      </c>
      <c r="G251" s="418" t="s">
        <v>2141</v>
      </c>
    </row>
    <row r="252" spans="2:7" ht="115.05" customHeight="1">
      <c r="B252" s="416" t="s">
        <v>1633</v>
      </c>
      <c r="C252" s="416"/>
      <c r="D252" s="439">
        <v>349501.33199999994</v>
      </c>
      <c r="E252" s="418" t="s">
        <v>1634</v>
      </c>
      <c r="F252" s="440">
        <v>295991.65699999995</v>
      </c>
      <c r="G252" s="418" t="s">
        <v>2142</v>
      </c>
    </row>
    <row r="253" spans="2:7" ht="22.8">
      <c r="B253" s="422"/>
      <c r="C253" s="422"/>
      <c r="D253" s="440"/>
      <c r="E253" s="418" t="s">
        <v>1635</v>
      </c>
      <c r="F253" s="440">
        <v>53509.67500000001</v>
      </c>
      <c r="G253" s="418" t="s">
        <v>2143</v>
      </c>
    </row>
    <row r="254" spans="2:7" ht="57">
      <c r="B254" s="416" t="s">
        <v>786</v>
      </c>
      <c r="C254" s="416"/>
      <c r="D254" s="439">
        <v>102519.99099999999</v>
      </c>
      <c r="E254" s="418" t="s">
        <v>787</v>
      </c>
      <c r="F254" s="440">
        <v>76928.562999999995</v>
      </c>
      <c r="G254" s="418" t="s">
        <v>2144</v>
      </c>
    </row>
    <row r="255" spans="2:7" ht="57">
      <c r="B255" s="422"/>
      <c r="C255" s="422"/>
      <c r="D255" s="440"/>
      <c r="E255" s="418" t="s">
        <v>788</v>
      </c>
      <c r="F255" s="440">
        <v>25591.428000000004</v>
      </c>
      <c r="G255" s="418" t="s">
        <v>2145</v>
      </c>
    </row>
    <row r="256" spans="2:7" ht="57">
      <c r="B256" s="416" t="s">
        <v>783</v>
      </c>
      <c r="C256" s="416"/>
      <c r="D256" s="439">
        <v>60800.872999999905</v>
      </c>
      <c r="E256" s="418" t="s">
        <v>784</v>
      </c>
      <c r="F256" s="440">
        <v>43423.884999999987</v>
      </c>
      <c r="G256" s="418" t="s">
        <v>2146</v>
      </c>
    </row>
    <row r="257" spans="2:7" ht="45.6">
      <c r="B257" s="416"/>
      <c r="C257" s="416"/>
      <c r="D257" s="439"/>
      <c r="E257" s="423" t="s">
        <v>785</v>
      </c>
      <c r="F257" s="439">
        <v>17376.988000000008</v>
      </c>
      <c r="G257" s="423" t="s">
        <v>2147</v>
      </c>
    </row>
    <row r="258" spans="2:7">
      <c r="B258" s="425" t="s">
        <v>3</v>
      </c>
      <c r="C258" s="426"/>
      <c r="D258" s="509">
        <v>1122208.4569999999</v>
      </c>
      <c r="E258" s="442"/>
      <c r="F258" s="443"/>
      <c r="G258" s="428"/>
    </row>
    <row r="260" spans="2:7">
      <c r="B260" s="442" t="s">
        <v>2110</v>
      </c>
      <c r="C260" s="444"/>
      <c r="D260" s="415"/>
      <c r="E260" s="415"/>
      <c r="F260" s="415"/>
      <c r="G260" s="415"/>
    </row>
    <row r="261" spans="2:7">
      <c r="B261" s="445" t="s">
        <v>13</v>
      </c>
      <c r="C261" s="510">
        <v>690833.70000000019</v>
      </c>
      <c r="D261" s="448" t="s">
        <v>2112</v>
      </c>
      <c r="E261" s="448"/>
      <c r="F261" s="448"/>
      <c r="G261" s="448"/>
    </row>
    <row r="262" spans="2:7">
      <c r="B262" s="449" t="s">
        <v>6</v>
      </c>
      <c r="C262" s="510">
        <v>143168.54800000001</v>
      </c>
      <c r="D262" s="451" t="s">
        <v>2113</v>
      </c>
      <c r="E262" s="451"/>
      <c r="F262" s="451"/>
      <c r="G262" s="451"/>
    </row>
    <row r="263" spans="2:7">
      <c r="B263" s="449" t="s">
        <v>12</v>
      </c>
      <c r="C263" s="510">
        <v>109507.764</v>
      </c>
      <c r="D263" s="451" t="s">
        <v>2114</v>
      </c>
      <c r="E263" s="451"/>
      <c r="F263" s="451"/>
      <c r="G263" s="451"/>
    </row>
    <row r="264" spans="2:7">
      <c r="B264" s="449" t="s">
        <v>17</v>
      </c>
      <c r="C264" s="510">
        <v>84611.919999999984</v>
      </c>
      <c r="D264" s="451" t="s">
        <v>2115</v>
      </c>
      <c r="E264" s="451"/>
      <c r="F264" s="451"/>
      <c r="G264" s="451"/>
    </row>
    <row r="265" spans="2:7">
      <c r="B265" s="449" t="s">
        <v>10</v>
      </c>
      <c r="C265" s="510">
        <v>42815.273000000023</v>
      </c>
      <c r="D265" s="451" t="s">
        <v>2116</v>
      </c>
      <c r="E265" s="451"/>
      <c r="F265" s="451"/>
      <c r="G265" s="451"/>
    </row>
    <row r="266" spans="2:7">
      <c r="B266" s="449" t="s">
        <v>7</v>
      </c>
      <c r="C266" s="510">
        <v>17772.709999999995</v>
      </c>
      <c r="D266" s="451" t="s">
        <v>2117</v>
      </c>
      <c r="E266" s="451"/>
      <c r="F266" s="451"/>
      <c r="G266" s="451"/>
    </row>
    <row r="267" spans="2:7">
      <c r="B267" s="449" t="s">
        <v>24</v>
      </c>
      <c r="C267" s="510">
        <v>5041.3329999999996</v>
      </c>
      <c r="D267" s="451" t="s">
        <v>2118</v>
      </c>
      <c r="E267" s="451"/>
      <c r="F267" s="451"/>
      <c r="G267" s="451"/>
    </row>
    <row r="268" spans="2:7">
      <c r="B268" s="449" t="s">
        <v>27</v>
      </c>
      <c r="C268" s="510">
        <v>3063.857</v>
      </c>
      <c r="D268" s="451" t="s">
        <v>2119</v>
      </c>
      <c r="E268" s="451"/>
      <c r="F268" s="451"/>
      <c r="G268" s="451"/>
    </row>
    <row r="269" spans="2:7">
      <c r="B269" s="449" t="s">
        <v>16</v>
      </c>
      <c r="C269" s="510">
        <v>3023.2730000000001</v>
      </c>
      <c r="D269" s="451" t="s">
        <v>2120</v>
      </c>
      <c r="E269" s="451"/>
      <c r="F269" s="451"/>
      <c r="G269" s="451"/>
    </row>
    <row r="270" spans="2:7">
      <c r="B270" s="449" t="s">
        <v>1450</v>
      </c>
      <c r="C270" s="510">
        <v>2473.3170000000005</v>
      </c>
      <c r="D270" s="451" t="s">
        <v>2121</v>
      </c>
      <c r="E270" s="451"/>
      <c r="F270" s="451"/>
      <c r="G270" s="451"/>
    </row>
    <row r="271" spans="2:7">
      <c r="B271" s="290" t="s">
        <v>1623</v>
      </c>
      <c r="C271" s="490">
        <v>19896.762000002433</v>
      </c>
      <c r="D271" s="454"/>
      <c r="E271" s="454"/>
      <c r="F271" s="454"/>
      <c r="G271" s="454"/>
    </row>
    <row r="272" spans="2:7">
      <c r="B272" s="425" t="s">
        <v>3</v>
      </c>
      <c r="C272" s="441">
        <v>1122208.4570000027</v>
      </c>
      <c r="D272" s="461" t="s">
        <v>919</v>
      </c>
      <c r="E272" s="442"/>
      <c r="F272" s="428"/>
      <c r="G272" s="428"/>
    </row>
    <row r="273" spans="2:7">
      <c r="C273" s="456"/>
    </row>
    <row r="274" spans="2:7">
      <c r="B274" s="442" t="s">
        <v>2111</v>
      </c>
      <c r="C274" s="457"/>
      <c r="D274" s="415"/>
      <c r="E274" s="415"/>
      <c r="F274" s="415"/>
      <c r="G274" s="415"/>
    </row>
    <row r="275" spans="2:7">
      <c r="B275" s="445" t="s">
        <v>13</v>
      </c>
      <c r="C275" s="510">
        <v>28364.03</v>
      </c>
      <c r="D275" s="458" t="s">
        <v>2122</v>
      </c>
      <c r="E275" s="448"/>
      <c r="F275" s="448"/>
      <c r="G275" s="448"/>
    </row>
    <row r="276" spans="2:7">
      <c r="B276" s="449" t="s">
        <v>12</v>
      </c>
      <c r="C276" s="510">
        <v>18421.053000000007</v>
      </c>
      <c r="D276" s="459" t="s">
        <v>2123</v>
      </c>
      <c r="E276" s="451"/>
      <c r="F276" s="451"/>
      <c r="G276" s="451"/>
    </row>
    <row r="277" spans="2:7">
      <c r="B277" s="449" t="s">
        <v>20</v>
      </c>
      <c r="C277" s="510">
        <v>14186.388999999999</v>
      </c>
      <c r="D277" s="459" t="s">
        <v>2124</v>
      </c>
      <c r="E277" s="451"/>
      <c r="F277" s="451"/>
      <c r="G277" s="451"/>
    </row>
    <row r="278" spans="2:7">
      <c r="B278" s="449" t="s">
        <v>17</v>
      </c>
      <c r="C278" s="510">
        <v>11561.428000000002</v>
      </c>
      <c r="D278" s="459" t="s">
        <v>2125</v>
      </c>
      <c r="E278" s="451"/>
      <c r="F278" s="451"/>
      <c r="G278" s="451"/>
    </row>
    <row r="279" spans="2:7">
      <c r="B279" s="449" t="s">
        <v>19</v>
      </c>
      <c r="C279" s="510">
        <v>9982.8859999999986</v>
      </c>
      <c r="D279" s="459" t="s">
        <v>2126</v>
      </c>
      <c r="E279" s="451"/>
      <c r="F279" s="451"/>
      <c r="G279" s="451"/>
    </row>
    <row r="280" spans="2:7">
      <c r="B280" s="449" t="s">
        <v>10</v>
      </c>
      <c r="C280" s="510">
        <v>7515.8820000000014</v>
      </c>
      <c r="D280" s="459" t="s">
        <v>2127</v>
      </c>
      <c r="E280" s="451"/>
      <c r="F280" s="451"/>
      <c r="G280" s="451"/>
    </row>
    <row r="281" spans="2:7">
      <c r="B281" s="449" t="s">
        <v>920</v>
      </c>
      <c r="C281" s="510">
        <v>6308.7160000000003</v>
      </c>
      <c r="D281" s="459" t="s">
        <v>2128</v>
      </c>
      <c r="E281" s="451"/>
      <c r="F281" s="451"/>
      <c r="G281" s="451"/>
    </row>
    <row r="282" spans="2:7">
      <c r="B282" s="449" t="s">
        <v>6</v>
      </c>
      <c r="C282" s="510">
        <v>6137.6410000000014</v>
      </c>
      <c r="D282" s="459" t="s">
        <v>2129</v>
      </c>
      <c r="E282" s="451"/>
      <c r="F282" s="451"/>
      <c r="G282" s="451"/>
    </row>
    <row r="283" spans="2:7">
      <c r="B283" s="449" t="s">
        <v>15</v>
      </c>
      <c r="C283" s="510">
        <v>1580.4670000000001</v>
      </c>
      <c r="D283" s="459" t="s">
        <v>2130</v>
      </c>
      <c r="E283" s="451"/>
      <c r="F283" s="451"/>
      <c r="G283" s="451"/>
    </row>
    <row r="284" spans="2:7">
      <c r="B284" s="449" t="s">
        <v>1398</v>
      </c>
      <c r="C284" s="510">
        <v>1353.0149999999999</v>
      </c>
      <c r="D284" s="459" t="s">
        <v>2131</v>
      </c>
      <c r="E284" s="451"/>
      <c r="F284" s="451"/>
      <c r="G284" s="451"/>
    </row>
    <row r="285" spans="2:7">
      <c r="B285" s="290" t="s">
        <v>1623</v>
      </c>
      <c r="C285" s="490">
        <v>17415.514000000039</v>
      </c>
      <c r="D285" s="454"/>
      <c r="E285" s="454"/>
      <c r="F285" s="454"/>
      <c r="G285" s="454"/>
    </row>
    <row r="286" spans="2:7">
      <c r="B286" s="425" t="s">
        <v>3</v>
      </c>
      <c r="C286" s="441">
        <v>122827.02100000005</v>
      </c>
      <c r="D286" s="461" t="s">
        <v>921</v>
      </c>
      <c r="E286" s="442"/>
      <c r="F286" s="428"/>
      <c r="G286" s="428"/>
    </row>
    <row r="287" spans="2:7">
      <c r="B287" s="87" t="s">
        <v>2391</v>
      </c>
    </row>
  </sheetData>
  <hyperlinks>
    <hyperlink ref="B21" r:id="rId1" display="Source: IMF, 2016 World Development Indicators " xr:uid="{00000000-0004-0000-0E00-000000000000}"/>
    <hyperlink ref="H24" r:id="rId2" xr:uid="{00000000-0004-0000-0E00-000001000000}"/>
    <hyperlink ref="B36" r:id="rId3" display="Source: Agreste, Statistique Agricole Annuelle 2023" xr:uid="{00000000-0004-0000-0E00-000002000000}"/>
    <hyperlink ref="B46" r:id="rId4" display="Source: FranceAgriMer 2023, Observatoire des données structurelles des entreprises de l’horticulture et de la pépinière ornementales, Données 2021" xr:uid="{00000000-0004-0000-0E00-000003000000}"/>
    <hyperlink ref="B106" r:id="rId5" xr:uid="{00000000-0004-0000-0E00-000004000000}"/>
    <hyperlink ref="H136" r:id="rId6" xr:uid="{00000000-0004-0000-0E00-000005000000}"/>
    <hyperlink ref="B67" r:id="rId7" display="Source: FranceAgriMer 2023, Observatoire des données structurelles des entreprises de l’horticulture et de la pépinière ornementales, Données 2021" xr:uid="{00000000-0004-0000-0E00-000007000000}"/>
    <hyperlink ref="B148" r:id="rId8" display="Source: FranceAgriMer 2023, Observatoire des données structurelles des entreprises de l’horticulture et de la pépinière ornementales, Données 2021" xr:uid="{00000000-0004-0000-0E00-000008000000}"/>
    <hyperlink ref="B191" r:id="rId9" display="Source: FranceAgriMer 2023, Observatoire des données structurelles des entreprises de l’horticulture et de la pépinière ornementales, Données 2021" xr:uid="{00000000-0004-0000-0E00-000009000000}"/>
    <hyperlink ref="B78" r:id="rId10" display="Source: FranceAgriMer, 2020: Les filières de l’horticulture et de la pépinière en France" xr:uid="{00000000-0004-0000-0E00-00000A000000}"/>
    <hyperlink ref="B92" r:id="rId11" display="Source: FranceAgriMer, 2018: Les filières de l’horticulture et de la pépinière en France" xr:uid="{00000000-0004-0000-0E00-00000B000000}"/>
    <hyperlink ref="B233" r:id="rId12" xr:uid="{00000000-0004-0000-0E00-00000C000000}"/>
    <hyperlink ref="B211" r:id="rId13" display="Source: FranceAgriMer 2023, Observatoire des données structurelles des entreprises de l’horticulture et de la pépinière ornementales, Données 2021" xr:uid="{C26C028C-B0EE-4C15-B72C-A52C1E96407F}"/>
  </hyperlinks>
  <pageMargins left="0.7" right="0.7" top="0.78740157499999996" bottom="0.78740157499999996" header="0.3" footer="0.3"/>
  <pageSetup paperSize="9" orientation="portrait" r:id="rId14"/>
  <drawing r:id="rId1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</sheetPr>
  <dimension ref="B2:AH390"/>
  <sheetViews>
    <sheetView topLeftCell="T326" zoomScale="85" zoomScaleNormal="85" workbookViewId="0">
      <selection activeCell="Y337" sqref="Y337"/>
    </sheetView>
  </sheetViews>
  <sheetFormatPr defaultColWidth="11.44140625" defaultRowHeight="14.4"/>
  <cols>
    <col min="2" max="2" width="38.44140625" customWidth="1"/>
    <col min="4" max="4" width="10.33203125" customWidth="1"/>
    <col min="5" max="5" width="18.6640625" customWidth="1"/>
    <col min="7" max="7" width="15.5546875" customWidth="1"/>
    <col min="9" max="9" width="21.109375" customWidth="1"/>
    <col min="10" max="10" width="13.109375" customWidth="1"/>
    <col min="11" max="11" width="16.88671875" customWidth="1"/>
    <col min="14" max="14" width="20" customWidth="1"/>
  </cols>
  <sheetData>
    <row r="2" spans="2:13" ht="15.6">
      <c r="B2" s="83" t="s">
        <v>922</v>
      </c>
    </row>
    <row r="3" spans="2:13" ht="15.6">
      <c r="B3" s="83"/>
    </row>
    <row r="4" spans="2:13" ht="15.6">
      <c r="B4" s="83"/>
    </row>
    <row r="5" spans="2:13" ht="15.6">
      <c r="B5" s="83" t="s">
        <v>2417</v>
      </c>
      <c r="H5" s="1439" t="s">
        <v>923</v>
      </c>
    </row>
    <row r="6" spans="2:13" ht="15.6">
      <c r="B6" s="83"/>
      <c r="H6" s="290" t="s">
        <v>924</v>
      </c>
      <c r="I6" s="7"/>
      <c r="J6" s="7"/>
      <c r="K6" s="7"/>
    </row>
    <row r="7" spans="2:13" ht="15" customHeight="1">
      <c r="B7" s="13" t="s">
        <v>530</v>
      </c>
      <c r="C7" s="239">
        <v>83.5</v>
      </c>
      <c r="D7" s="247"/>
      <c r="E7" s="240" t="s">
        <v>531</v>
      </c>
      <c r="H7" s="3"/>
      <c r="I7" s="3"/>
      <c r="J7" s="3"/>
      <c r="K7" s="3"/>
    </row>
    <row r="8" spans="2:13" ht="42.6">
      <c r="B8" s="13" t="s">
        <v>532</v>
      </c>
      <c r="C8" s="247">
        <v>357600</v>
      </c>
      <c r="D8" s="247"/>
      <c r="E8" s="240" t="s">
        <v>533</v>
      </c>
      <c r="H8" s="368" t="s">
        <v>751</v>
      </c>
      <c r="I8" s="515" t="s">
        <v>56</v>
      </c>
      <c r="J8" s="515" t="s">
        <v>70</v>
      </c>
      <c r="K8" s="515" t="s">
        <v>925</v>
      </c>
    </row>
    <row r="9" spans="2:13">
      <c r="B9" s="242" t="s">
        <v>534</v>
      </c>
      <c r="C9" s="243">
        <v>240</v>
      </c>
      <c r="D9" s="243"/>
      <c r="E9" s="244" t="s">
        <v>535</v>
      </c>
      <c r="H9" t="s">
        <v>2410</v>
      </c>
      <c r="I9">
        <v>2483</v>
      </c>
      <c r="M9" s="516"/>
    </row>
    <row r="10" spans="2:13" ht="15" customHeight="1">
      <c r="B10" s="245"/>
      <c r="C10" s="246"/>
      <c r="D10" s="246"/>
      <c r="E10" s="240"/>
      <c r="H10" s="670">
        <v>2023</v>
      </c>
      <c r="I10" s="1318">
        <v>2728</v>
      </c>
      <c r="J10">
        <v>1339</v>
      </c>
      <c r="K10">
        <v>919</v>
      </c>
    </row>
    <row r="11" spans="2:13" ht="15.6">
      <c r="B11" s="13" t="s">
        <v>536</v>
      </c>
      <c r="C11" s="989">
        <v>4590</v>
      </c>
      <c r="D11" s="247"/>
      <c r="E11" s="240" t="s">
        <v>537</v>
      </c>
      <c r="H11" s="670">
        <v>2022</v>
      </c>
      <c r="I11" s="516">
        <v>3098</v>
      </c>
      <c r="J11" s="1318">
        <v>1460</v>
      </c>
      <c r="K11" s="1318">
        <v>1189</v>
      </c>
    </row>
    <row r="12" spans="2:13" ht="15" customHeight="1">
      <c r="B12" s="245" t="s">
        <v>538</v>
      </c>
      <c r="C12" s="990">
        <v>54960</v>
      </c>
      <c r="D12" s="246"/>
      <c r="E12" s="240" t="s">
        <v>539</v>
      </c>
      <c r="H12" s="704">
        <v>2021</v>
      </c>
      <c r="I12" s="516">
        <v>2610</v>
      </c>
      <c r="J12" s="702">
        <v>1088</v>
      </c>
      <c r="K12" s="516">
        <v>1102</v>
      </c>
    </row>
    <row r="13" spans="2:13">
      <c r="B13" s="13" t="s">
        <v>540</v>
      </c>
      <c r="C13" s="991">
        <v>6254</v>
      </c>
      <c r="D13" s="247"/>
      <c r="E13" s="240" t="s">
        <v>537</v>
      </c>
      <c r="H13" s="370">
        <v>2020</v>
      </c>
      <c r="I13" s="516">
        <v>3143</v>
      </c>
      <c r="J13" s="702">
        <v>1308</v>
      </c>
      <c r="K13" s="516">
        <v>1326</v>
      </c>
    </row>
    <row r="14" spans="2:13">
      <c r="B14" s="245" t="s">
        <v>541</v>
      </c>
      <c r="C14" s="246"/>
      <c r="D14" s="246"/>
      <c r="E14" s="240"/>
      <c r="H14" s="370">
        <v>2019</v>
      </c>
      <c r="I14" s="516">
        <v>2681</v>
      </c>
      <c r="J14" s="371">
        <v>918</v>
      </c>
      <c r="K14" s="516">
        <v>1391</v>
      </c>
    </row>
    <row r="15" spans="2:13">
      <c r="B15" s="245" t="s">
        <v>538</v>
      </c>
      <c r="C15" s="990">
        <v>74880</v>
      </c>
      <c r="D15" s="246"/>
      <c r="E15" s="240" t="s">
        <v>542</v>
      </c>
      <c r="H15" s="370">
        <v>2018</v>
      </c>
      <c r="I15" s="516">
        <v>2348</v>
      </c>
      <c r="J15" s="371">
        <v>763</v>
      </c>
      <c r="K15" s="516">
        <v>1179</v>
      </c>
    </row>
    <row r="16" spans="2:13" ht="15" customHeight="1">
      <c r="B16" s="248"/>
      <c r="C16" s="249"/>
      <c r="D16" s="249"/>
      <c r="E16" s="244"/>
      <c r="H16" s="370">
        <v>2017</v>
      </c>
      <c r="I16" s="516">
        <v>2585</v>
      </c>
      <c r="J16" s="371">
        <v>835</v>
      </c>
      <c r="K16" s="516">
        <v>1273</v>
      </c>
    </row>
    <row r="17" spans="2:12">
      <c r="B17" s="13" t="s">
        <v>543</v>
      </c>
      <c r="C17" s="239">
        <v>-0.2</v>
      </c>
      <c r="D17" s="247"/>
      <c r="E17" s="240" t="s">
        <v>544</v>
      </c>
      <c r="H17" s="370">
        <v>2016</v>
      </c>
      <c r="I17" s="516">
        <v>2318</v>
      </c>
      <c r="J17" s="371">
        <v>829</v>
      </c>
      <c r="K17" s="516">
        <v>1133</v>
      </c>
    </row>
    <row r="18" spans="2:12">
      <c r="B18" s="13" t="s">
        <v>545</v>
      </c>
      <c r="C18" s="239">
        <v>0.2</v>
      </c>
      <c r="D18" s="247"/>
      <c r="E18" s="240" t="s">
        <v>546</v>
      </c>
      <c r="H18" s="370">
        <v>2015</v>
      </c>
      <c r="I18" s="516">
        <v>2247</v>
      </c>
      <c r="J18" s="371">
        <v>781</v>
      </c>
      <c r="K18" s="516">
        <v>1112</v>
      </c>
    </row>
    <row r="19" spans="2:12">
      <c r="B19" s="245"/>
      <c r="C19" s="246"/>
      <c r="D19" s="246"/>
      <c r="E19" s="240"/>
      <c r="H19" s="370">
        <v>2014</v>
      </c>
      <c r="I19" s="516">
        <v>2309</v>
      </c>
      <c r="J19" s="516">
        <v>829</v>
      </c>
      <c r="K19" s="516">
        <v>1143</v>
      </c>
    </row>
    <row r="20" spans="2:12">
      <c r="B20" s="250" t="s">
        <v>927</v>
      </c>
      <c r="C20" s="251"/>
      <c r="D20" s="251"/>
      <c r="E20" s="251"/>
      <c r="H20" s="370">
        <v>2013</v>
      </c>
      <c r="I20" s="516">
        <v>2462</v>
      </c>
      <c r="J20" s="516">
        <v>855</v>
      </c>
      <c r="K20" s="516">
        <v>1310</v>
      </c>
    </row>
    <row r="21" spans="2:12">
      <c r="B21" s="252" t="s">
        <v>2416</v>
      </c>
      <c r="C21" s="253"/>
      <c r="D21" s="253"/>
      <c r="E21" s="82"/>
      <c r="H21" s="370">
        <v>2012</v>
      </c>
      <c r="I21" s="516">
        <v>2312</v>
      </c>
      <c r="J21" s="516">
        <v>951</v>
      </c>
      <c r="K21" s="516">
        <v>1361</v>
      </c>
    </row>
    <row r="22" spans="2:12">
      <c r="H22" s="375" t="s">
        <v>928</v>
      </c>
      <c r="I22" s="87"/>
      <c r="J22" s="82"/>
      <c r="K22" s="87"/>
    </row>
    <row r="23" spans="2:12">
      <c r="H23" s="276" t="s">
        <v>754</v>
      </c>
      <c r="I23" s="82"/>
      <c r="J23" s="82"/>
      <c r="K23" s="82"/>
    </row>
    <row r="26" spans="2:12" ht="15.6">
      <c r="B26" s="86" t="s">
        <v>929</v>
      </c>
      <c r="C26" s="86"/>
      <c r="D26" s="86"/>
    </row>
    <row r="27" spans="2:12" ht="16.2">
      <c r="B27" s="81" t="s">
        <v>797</v>
      </c>
      <c r="C27" s="86"/>
      <c r="D27" s="86"/>
    </row>
    <row r="28" spans="2:12">
      <c r="B28" s="518"/>
      <c r="C28" s="992">
        <v>2021</v>
      </c>
      <c r="D28" s="519">
        <v>2017</v>
      </c>
      <c r="E28" s="519">
        <v>2012</v>
      </c>
      <c r="F28" s="519">
        <v>2008</v>
      </c>
      <c r="G28" s="519">
        <v>2004</v>
      </c>
      <c r="H28" s="519">
        <v>2000</v>
      </c>
      <c r="I28" s="518"/>
      <c r="J28" s="518"/>
      <c r="K28" s="518"/>
      <c r="L28" s="518"/>
    </row>
    <row r="29" spans="2:12">
      <c r="B29" s="520" t="s">
        <v>108</v>
      </c>
      <c r="C29" s="993">
        <v>6262.8</v>
      </c>
      <c r="D29" s="522">
        <v>6588</v>
      </c>
      <c r="E29" s="522">
        <v>6741</v>
      </c>
      <c r="F29" s="522">
        <v>7167</v>
      </c>
      <c r="G29" s="522">
        <v>7640</v>
      </c>
      <c r="H29" s="522">
        <v>7056</v>
      </c>
      <c r="I29" s="520"/>
    </row>
    <row r="30" spans="2:12">
      <c r="B30" s="523" t="s">
        <v>66</v>
      </c>
      <c r="C30" s="994">
        <v>4609.7</v>
      </c>
      <c r="D30" s="525">
        <v>4884.5</v>
      </c>
      <c r="E30" s="525">
        <v>4893</v>
      </c>
      <c r="F30" s="525">
        <v>4911</v>
      </c>
      <c r="G30" s="526">
        <v>5116</v>
      </c>
      <c r="H30" s="526">
        <v>4373</v>
      </c>
      <c r="I30" s="523"/>
    </row>
    <row r="31" spans="2:12">
      <c r="B31" s="523" t="s">
        <v>930</v>
      </c>
      <c r="C31" s="994">
        <v>1653.2</v>
      </c>
      <c r="D31" s="525">
        <v>1702.5</v>
      </c>
      <c r="E31" s="525">
        <v>1848</v>
      </c>
      <c r="F31" s="525">
        <v>2257</v>
      </c>
      <c r="G31" s="526">
        <v>2524</v>
      </c>
      <c r="H31" s="526">
        <v>2683</v>
      </c>
      <c r="I31" s="523"/>
    </row>
    <row r="32" spans="2:12">
      <c r="B32" s="523" t="s">
        <v>931</v>
      </c>
      <c r="C32" s="994">
        <v>863.8</v>
      </c>
      <c r="D32" s="525">
        <v>970</v>
      </c>
      <c r="E32" s="525">
        <v>1281</v>
      </c>
      <c r="F32" s="525">
        <v>1203</v>
      </c>
      <c r="G32" s="526"/>
      <c r="H32" s="526"/>
      <c r="I32" s="523"/>
    </row>
    <row r="33" spans="2:9">
      <c r="B33" s="523"/>
      <c r="C33" s="994"/>
      <c r="D33" s="522"/>
      <c r="E33" s="525"/>
      <c r="F33" s="525"/>
      <c r="G33" s="526"/>
      <c r="H33" s="526"/>
      <c r="I33" s="523"/>
    </row>
    <row r="34" spans="2:9">
      <c r="B34" s="527" t="s">
        <v>932</v>
      </c>
      <c r="C34" s="995">
        <v>5599</v>
      </c>
      <c r="D34" s="522">
        <v>5908</v>
      </c>
      <c r="E34" s="522">
        <v>6139</v>
      </c>
      <c r="F34" s="525"/>
      <c r="G34" s="526"/>
      <c r="H34" s="526"/>
      <c r="I34" s="528"/>
    </row>
    <row r="35" spans="2:9">
      <c r="B35" s="523" t="s">
        <v>933</v>
      </c>
      <c r="C35" s="996">
        <v>2998.5</v>
      </c>
      <c r="D35" s="525">
        <v>2985</v>
      </c>
      <c r="E35" s="525">
        <v>3150</v>
      </c>
      <c r="F35" s="525"/>
      <c r="G35" s="526"/>
      <c r="H35" s="526"/>
      <c r="I35" s="523"/>
    </row>
    <row r="36" spans="2:9">
      <c r="B36" s="523" t="s">
        <v>934</v>
      </c>
      <c r="C36" s="996">
        <v>2600</v>
      </c>
      <c r="D36" s="525">
        <v>2923</v>
      </c>
      <c r="E36" s="525">
        <v>2989</v>
      </c>
      <c r="F36" s="525"/>
      <c r="G36" s="526"/>
      <c r="H36" s="526"/>
      <c r="I36" s="523"/>
    </row>
    <row r="37" spans="2:9">
      <c r="B37" s="529" t="s">
        <v>51</v>
      </c>
      <c r="C37" s="995">
        <v>4113</v>
      </c>
      <c r="D37" s="522">
        <f>D38+D39</f>
        <v>4374</v>
      </c>
      <c r="E37" s="522">
        <v>4472</v>
      </c>
      <c r="F37" s="525"/>
      <c r="G37" s="526"/>
      <c r="H37" s="526"/>
      <c r="I37" s="523"/>
    </row>
    <row r="38" spans="2:9">
      <c r="B38" s="523" t="s">
        <v>933</v>
      </c>
      <c r="C38" s="996">
        <v>1786.5</v>
      </c>
      <c r="D38" s="525">
        <v>1669</v>
      </c>
      <c r="E38" s="525">
        <v>1772</v>
      </c>
      <c r="F38" s="525"/>
      <c r="G38" s="526"/>
      <c r="H38" s="526"/>
      <c r="I38" s="523"/>
    </row>
    <row r="39" spans="2:9">
      <c r="B39" s="523" t="s">
        <v>935</v>
      </c>
      <c r="C39" s="996">
        <v>2326.1</v>
      </c>
      <c r="D39" s="525">
        <v>2705</v>
      </c>
      <c r="E39" s="525">
        <v>2700</v>
      </c>
      <c r="F39" s="525"/>
      <c r="G39" s="526"/>
      <c r="H39" s="526"/>
      <c r="I39" s="523"/>
    </row>
    <row r="40" spans="2:9">
      <c r="B40" s="529" t="s">
        <v>930</v>
      </c>
      <c r="C40" s="995">
        <v>1486</v>
      </c>
      <c r="D40" s="522">
        <f>D41+D42</f>
        <v>1533</v>
      </c>
      <c r="E40" s="522">
        <v>1667</v>
      </c>
      <c r="F40" s="525"/>
      <c r="G40" s="526"/>
      <c r="H40" s="526"/>
      <c r="I40" s="523"/>
    </row>
    <row r="41" spans="2:9">
      <c r="B41" s="523" t="s">
        <v>933</v>
      </c>
      <c r="C41" s="996">
        <v>1212</v>
      </c>
      <c r="D41" s="525">
        <v>1316</v>
      </c>
      <c r="E41" s="525">
        <v>1378</v>
      </c>
      <c r="F41" s="525"/>
      <c r="G41" s="526"/>
      <c r="H41" s="526"/>
      <c r="I41" s="523"/>
    </row>
    <row r="42" spans="2:9">
      <c r="B42" s="523" t="s">
        <v>935</v>
      </c>
      <c r="C42" s="996">
        <v>274</v>
      </c>
      <c r="D42" s="525">
        <v>217</v>
      </c>
      <c r="E42" s="525">
        <v>289</v>
      </c>
      <c r="F42" s="525"/>
      <c r="G42" s="526"/>
      <c r="H42" s="526"/>
      <c r="I42" s="523"/>
    </row>
    <row r="43" spans="2:9">
      <c r="B43" s="523"/>
      <c r="C43" s="997"/>
      <c r="D43" s="522"/>
      <c r="E43" s="525"/>
      <c r="F43" s="525"/>
      <c r="G43" s="526"/>
      <c r="H43" s="526"/>
      <c r="I43" s="523"/>
    </row>
    <row r="44" spans="2:9">
      <c r="B44" s="527" t="s">
        <v>936</v>
      </c>
      <c r="C44" s="993">
        <f>C45+C46</f>
        <v>664.3</v>
      </c>
      <c r="D44" s="522">
        <v>680</v>
      </c>
      <c r="E44" s="522">
        <v>603</v>
      </c>
      <c r="F44" s="522">
        <v>495</v>
      </c>
      <c r="G44" s="530">
        <v>684</v>
      </c>
      <c r="H44" s="526"/>
      <c r="I44" s="527"/>
    </row>
    <row r="45" spans="2:9">
      <c r="B45" s="523" t="s">
        <v>937</v>
      </c>
      <c r="C45" s="994">
        <v>351.7</v>
      </c>
      <c r="D45" s="525">
        <f t="shared" ref="D45:H46" si="0">D48+D51</f>
        <v>287</v>
      </c>
      <c r="E45" s="525">
        <f t="shared" si="0"/>
        <v>270</v>
      </c>
      <c r="F45" s="525">
        <f t="shared" si="0"/>
        <v>229</v>
      </c>
      <c r="G45" s="525">
        <f t="shared" si="0"/>
        <v>174</v>
      </c>
      <c r="H45" s="525">
        <f t="shared" si="0"/>
        <v>0</v>
      </c>
      <c r="I45" s="523"/>
    </row>
    <row r="46" spans="2:9">
      <c r="B46" s="531" t="s">
        <v>938</v>
      </c>
      <c r="C46" s="994">
        <v>312.60000000000002</v>
      </c>
      <c r="D46" s="525">
        <f t="shared" si="0"/>
        <v>393</v>
      </c>
      <c r="E46" s="525">
        <f t="shared" si="0"/>
        <v>333</v>
      </c>
      <c r="F46" s="525">
        <f t="shared" si="0"/>
        <v>266</v>
      </c>
      <c r="G46" s="525">
        <f t="shared" si="0"/>
        <v>510</v>
      </c>
      <c r="H46" s="525">
        <f t="shared" si="0"/>
        <v>0</v>
      </c>
      <c r="I46" s="523"/>
    </row>
    <row r="47" spans="2:9">
      <c r="B47" s="529" t="s">
        <v>66</v>
      </c>
      <c r="C47" s="993">
        <f>C48+C49</f>
        <v>497.1</v>
      </c>
      <c r="D47" s="522">
        <f>D48+D49</f>
        <v>511</v>
      </c>
      <c r="E47" s="522">
        <f>E48+E49</f>
        <v>421</v>
      </c>
      <c r="F47" s="522">
        <f>F48+F49</f>
        <v>306</v>
      </c>
      <c r="G47" s="522">
        <v>412</v>
      </c>
      <c r="H47" s="526"/>
      <c r="I47" s="529"/>
    </row>
    <row r="48" spans="2:9">
      <c r="B48" s="523" t="s">
        <v>937</v>
      </c>
      <c r="C48" s="994">
        <v>338.6</v>
      </c>
      <c r="D48" s="525">
        <v>277</v>
      </c>
      <c r="E48" s="525">
        <v>254</v>
      </c>
      <c r="F48" s="525">
        <v>210</v>
      </c>
      <c r="G48" s="526">
        <v>148</v>
      </c>
      <c r="H48" s="526"/>
      <c r="I48" s="523"/>
    </row>
    <row r="49" spans="2:9">
      <c r="B49" s="531" t="s">
        <v>938</v>
      </c>
      <c r="C49" s="994">
        <v>158.5</v>
      </c>
      <c r="D49" s="525">
        <v>234</v>
      </c>
      <c r="E49" s="525">
        <v>167</v>
      </c>
      <c r="F49" s="525">
        <v>96</v>
      </c>
      <c r="G49" s="526">
        <v>264</v>
      </c>
      <c r="H49" s="526"/>
      <c r="I49" s="523"/>
    </row>
    <row r="50" spans="2:9">
      <c r="B50" s="529" t="s">
        <v>930</v>
      </c>
      <c r="C50" s="993">
        <f>C51+C52</f>
        <v>167.1</v>
      </c>
      <c r="D50" s="522">
        <f>D51+D52</f>
        <v>169</v>
      </c>
      <c r="E50" s="522">
        <f>E51+E52</f>
        <v>182</v>
      </c>
      <c r="F50" s="522">
        <f>F51+F52</f>
        <v>189</v>
      </c>
      <c r="G50" s="522">
        <v>273</v>
      </c>
      <c r="H50" s="526"/>
      <c r="I50" s="532"/>
    </row>
    <row r="51" spans="2:9">
      <c r="B51" s="523" t="s">
        <v>937</v>
      </c>
      <c r="C51" s="994">
        <v>13.1</v>
      </c>
      <c r="D51" s="525">
        <v>10</v>
      </c>
      <c r="E51" s="525">
        <v>16</v>
      </c>
      <c r="F51" s="525">
        <v>19</v>
      </c>
      <c r="G51" s="526">
        <v>26</v>
      </c>
      <c r="H51" s="526"/>
      <c r="I51" s="533"/>
    </row>
    <row r="52" spans="2:9">
      <c r="B52" s="534" t="s">
        <v>938</v>
      </c>
      <c r="C52" s="994">
        <v>154</v>
      </c>
      <c r="D52" s="525">
        <v>159</v>
      </c>
      <c r="E52" s="525">
        <v>166</v>
      </c>
      <c r="F52" s="525">
        <v>170</v>
      </c>
      <c r="G52" s="535">
        <v>246</v>
      </c>
      <c r="H52" s="535"/>
      <c r="I52" s="536"/>
    </row>
    <row r="53" spans="2:9">
      <c r="B53" s="537" t="s">
        <v>939</v>
      </c>
      <c r="C53" s="537"/>
      <c r="D53" s="537"/>
      <c r="E53" s="538"/>
      <c r="F53" s="539"/>
      <c r="G53" s="539"/>
      <c r="H53" s="540"/>
    </row>
    <row r="54" spans="2:9">
      <c r="B54" s="537" t="s">
        <v>940</v>
      </c>
    </row>
    <row r="55" spans="2:9">
      <c r="B55" s="41" t="s">
        <v>1699</v>
      </c>
      <c r="C55" s="87"/>
      <c r="D55" s="87"/>
      <c r="E55" s="82"/>
    </row>
    <row r="59" spans="2:9" ht="15.6">
      <c r="B59" s="86" t="s">
        <v>1700</v>
      </c>
    </row>
    <row r="60" spans="2:9">
      <c r="B60" s="519"/>
      <c r="C60" s="519"/>
      <c r="D60" s="1563" t="s">
        <v>941</v>
      </c>
      <c r="E60" s="1563"/>
    </row>
    <row r="61" spans="2:9" ht="21.6">
      <c r="B61" s="519"/>
      <c r="C61" s="519" t="s">
        <v>52</v>
      </c>
      <c r="D61" s="541" t="s">
        <v>942</v>
      </c>
      <c r="E61" s="519" t="s">
        <v>53</v>
      </c>
    </row>
    <row r="62" spans="2:9" ht="31.5" customHeight="1">
      <c r="B62" s="399" t="s">
        <v>943</v>
      </c>
      <c r="C62" s="998">
        <v>577</v>
      </c>
      <c r="D62" s="999">
        <v>364</v>
      </c>
      <c r="E62" s="999">
        <v>364</v>
      </c>
    </row>
    <row r="63" spans="2:9">
      <c r="B63" s="395" t="s">
        <v>944</v>
      </c>
      <c r="C63" s="998">
        <v>467</v>
      </c>
      <c r="D63" s="1000">
        <v>350</v>
      </c>
      <c r="E63" s="1000">
        <v>257</v>
      </c>
    </row>
    <row r="64" spans="2:9">
      <c r="B64" s="395" t="s">
        <v>945</v>
      </c>
      <c r="C64" s="524">
        <v>13</v>
      </c>
      <c r="D64" s="1000">
        <v>13</v>
      </c>
      <c r="E64" s="1000">
        <v>1</v>
      </c>
    </row>
    <row r="65" spans="2:12">
      <c r="B65" s="395" t="s">
        <v>946</v>
      </c>
      <c r="C65" s="524">
        <v>58</v>
      </c>
      <c r="D65" s="1000">
        <v>45</v>
      </c>
      <c r="E65" s="1000">
        <v>22</v>
      </c>
    </row>
    <row r="66" spans="2:12">
      <c r="B66" s="395" t="s">
        <v>947</v>
      </c>
      <c r="C66" s="524">
        <v>174</v>
      </c>
      <c r="D66" s="1000">
        <v>89</v>
      </c>
      <c r="E66" s="1000">
        <v>117</v>
      </c>
    </row>
    <row r="67" spans="2:12">
      <c r="B67" s="395" t="s">
        <v>948</v>
      </c>
      <c r="C67" s="524">
        <v>151</v>
      </c>
      <c r="D67" s="1000">
        <v>101</v>
      </c>
      <c r="E67" s="1000">
        <v>74</v>
      </c>
    </row>
    <row r="68" spans="2:12">
      <c r="B68" s="395" t="s">
        <v>949</v>
      </c>
      <c r="C68" s="524">
        <v>24</v>
      </c>
      <c r="D68" s="1000">
        <v>19</v>
      </c>
      <c r="E68" s="1000">
        <v>17</v>
      </c>
    </row>
    <row r="69" spans="2:12">
      <c r="B69" s="395" t="s">
        <v>950</v>
      </c>
      <c r="C69" s="524">
        <v>324</v>
      </c>
      <c r="D69" s="1000">
        <v>249</v>
      </c>
      <c r="E69" s="1000">
        <v>120</v>
      </c>
    </row>
    <row r="70" spans="2:12">
      <c r="B70" s="395" t="s">
        <v>951</v>
      </c>
      <c r="C70" s="524">
        <v>811</v>
      </c>
      <c r="D70" s="1000">
        <v>634</v>
      </c>
      <c r="E70" s="1000">
        <v>266</v>
      </c>
    </row>
    <row r="71" spans="2:12">
      <c r="B71" s="395" t="s">
        <v>952</v>
      </c>
      <c r="C71" s="524">
        <v>110</v>
      </c>
      <c r="D71" s="1000">
        <v>73</v>
      </c>
      <c r="E71" s="1000">
        <v>53</v>
      </c>
    </row>
    <row r="72" spans="2:12">
      <c r="B72" s="395" t="s">
        <v>953</v>
      </c>
      <c r="C72" s="524">
        <v>12</v>
      </c>
      <c r="D72" s="1000">
        <v>10</v>
      </c>
      <c r="E72" s="1000">
        <v>1</v>
      </c>
    </row>
    <row r="73" spans="2:12">
      <c r="B73" s="395" t="s">
        <v>954</v>
      </c>
      <c r="C73" s="524">
        <v>174</v>
      </c>
      <c r="D73" s="1000">
        <v>158</v>
      </c>
      <c r="E73" s="1000">
        <v>88</v>
      </c>
    </row>
    <row r="74" spans="2:12">
      <c r="B74" s="395" t="s">
        <v>955</v>
      </c>
      <c r="C74" s="524">
        <v>39</v>
      </c>
      <c r="D74" s="1000">
        <v>36</v>
      </c>
      <c r="E74" s="1000">
        <v>12</v>
      </c>
    </row>
    <row r="75" spans="2:12">
      <c r="B75" s="395" t="s">
        <v>956</v>
      </c>
      <c r="C75" s="524">
        <v>121</v>
      </c>
      <c r="D75" s="1000">
        <v>88</v>
      </c>
      <c r="E75" s="1000">
        <v>47</v>
      </c>
    </row>
    <row r="76" spans="2:12">
      <c r="B76" s="481" t="s">
        <v>957</v>
      </c>
      <c r="C76" s="544">
        <v>68</v>
      </c>
      <c r="D76" s="1001">
        <v>62</v>
      </c>
      <c r="E76" s="1001">
        <v>32</v>
      </c>
    </row>
    <row r="77" spans="2:12">
      <c r="B77" s="546" t="s">
        <v>52</v>
      </c>
      <c r="C77" s="547">
        <v>3123</v>
      </c>
      <c r="D77" s="547">
        <v>2291</v>
      </c>
      <c r="E77" s="547">
        <v>1471</v>
      </c>
    </row>
    <row r="78" spans="2:12" ht="15.6">
      <c r="B78" s="41" t="s">
        <v>1699</v>
      </c>
      <c r="H78" s="467"/>
      <c r="I78" s="376"/>
      <c r="J78" s="376"/>
      <c r="K78" s="376"/>
      <c r="L78" s="376"/>
    </row>
    <row r="81" spans="2:15" ht="15.6">
      <c r="B81" s="86" t="s">
        <v>134</v>
      </c>
      <c r="D81" s="86"/>
      <c r="E81" s="86"/>
      <c r="N81" s="86" t="s">
        <v>134</v>
      </c>
    </row>
    <row r="82" spans="2:15" ht="16.2">
      <c r="B82" s="81" t="s">
        <v>964</v>
      </c>
      <c r="D82" s="86"/>
      <c r="E82" s="86"/>
      <c r="N82" s="81" t="s">
        <v>2</v>
      </c>
    </row>
    <row r="83" spans="2:15">
      <c r="B83" s="518"/>
      <c r="C83" s="992">
        <v>2021</v>
      </c>
      <c r="D83" s="519">
        <v>2017</v>
      </c>
      <c r="E83" s="519">
        <v>2012</v>
      </c>
      <c r="F83" s="519">
        <v>2008</v>
      </c>
      <c r="G83" s="519">
        <v>2004</v>
      </c>
      <c r="H83" s="519">
        <v>2000</v>
      </c>
      <c r="I83" s="518"/>
      <c r="J83" s="518"/>
      <c r="N83" s="518"/>
      <c r="O83" s="519">
        <v>2021</v>
      </c>
    </row>
    <row r="84" spans="2:15">
      <c r="B84" s="520" t="s">
        <v>66</v>
      </c>
      <c r="C84" s="993">
        <v>2626</v>
      </c>
      <c r="D84" s="522">
        <v>2824</v>
      </c>
      <c r="E84" s="522">
        <v>2722</v>
      </c>
      <c r="F84" s="522">
        <v>2799</v>
      </c>
      <c r="G84" s="522">
        <v>2462</v>
      </c>
      <c r="H84" s="522">
        <v>2614</v>
      </c>
      <c r="I84" s="520" t="s">
        <v>965</v>
      </c>
      <c r="J84" s="543"/>
      <c r="N84" s="520" t="s">
        <v>66</v>
      </c>
      <c r="O84" s="521">
        <v>1265</v>
      </c>
    </row>
    <row r="85" spans="2:15">
      <c r="B85" s="523" t="s">
        <v>966</v>
      </c>
      <c r="C85" s="994">
        <v>785.6</v>
      </c>
      <c r="D85" s="525">
        <v>587</v>
      </c>
      <c r="E85" s="525">
        <v>856</v>
      </c>
      <c r="F85" s="525">
        <v>1090</v>
      </c>
      <c r="G85" s="526">
        <v>756</v>
      </c>
      <c r="H85" s="526">
        <v>1018</v>
      </c>
      <c r="I85" s="554" t="s">
        <v>967</v>
      </c>
      <c r="J85" s="543"/>
      <c r="N85" s="523" t="s">
        <v>968</v>
      </c>
      <c r="O85" s="524">
        <v>661</v>
      </c>
    </row>
    <row r="86" spans="2:15">
      <c r="B86" s="523" t="s">
        <v>113</v>
      </c>
      <c r="C86" s="994">
        <v>150.6</v>
      </c>
      <c r="D86" s="525">
        <v>224</v>
      </c>
      <c r="E86" s="525">
        <v>230</v>
      </c>
      <c r="F86" s="525">
        <v>312</v>
      </c>
      <c r="G86" s="526">
        <v>263</v>
      </c>
      <c r="H86" s="526">
        <v>189</v>
      </c>
      <c r="I86" s="523" t="s">
        <v>969</v>
      </c>
      <c r="J86" s="543"/>
      <c r="N86" s="523" t="s">
        <v>113</v>
      </c>
      <c r="O86" s="524">
        <v>135</v>
      </c>
    </row>
    <row r="87" spans="2:15">
      <c r="B87" s="523" t="s">
        <v>115</v>
      </c>
      <c r="C87" s="994">
        <v>10.3</v>
      </c>
      <c r="D87" s="525">
        <v>36</v>
      </c>
      <c r="E87" s="525">
        <v>37</v>
      </c>
      <c r="F87" s="525">
        <v>69</v>
      </c>
      <c r="G87" s="526">
        <v>61</v>
      </c>
      <c r="H87" s="526">
        <v>78</v>
      </c>
      <c r="I87" s="523" t="s">
        <v>970</v>
      </c>
      <c r="J87" s="543"/>
      <c r="N87" s="523" t="s">
        <v>115</v>
      </c>
      <c r="O87" s="524">
        <v>140</v>
      </c>
    </row>
    <row r="88" spans="2:15">
      <c r="B88" s="523" t="s">
        <v>971</v>
      </c>
      <c r="C88" s="994">
        <v>524.4</v>
      </c>
      <c r="D88" s="525">
        <v>1194</v>
      </c>
      <c r="E88" s="525">
        <v>955</v>
      </c>
      <c r="F88" s="525">
        <v>790</v>
      </c>
      <c r="G88" s="526" t="s">
        <v>59</v>
      </c>
      <c r="H88" s="526" t="s">
        <v>59</v>
      </c>
      <c r="I88" s="523" t="s">
        <v>972</v>
      </c>
      <c r="J88" s="543"/>
      <c r="N88" s="523" t="s">
        <v>408</v>
      </c>
      <c r="O88" s="524">
        <v>472</v>
      </c>
    </row>
    <row r="89" spans="2:15">
      <c r="B89" s="555" t="s">
        <v>973</v>
      </c>
      <c r="C89" s="994">
        <v>412.5</v>
      </c>
      <c r="D89" s="556">
        <v>783</v>
      </c>
      <c r="E89" s="556">
        <v>644</v>
      </c>
      <c r="F89" s="556">
        <v>731</v>
      </c>
      <c r="G89" s="557">
        <v>432</v>
      </c>
      <c r="H89" s="557">
        <v>485</v>
      </c>
      <c r="I89" s="555" t="s">
        <v>974</v>
      </c>
      <c r="J89" s="545"/>
      <c r="N89" s="523" t="s">
        <v>973</v>
      </c>
      <c r="O89" s="524">
        <v>283</v>
      </c>
    </row>
    <row r="90" spans="2:15">
      <c r="B90" s="555" t="s">
        <v>1703</v>
      </c>
      <c r="C90" s="994">
        <v>470</v>
      </c>
      <c r="D90" s="556" t="s">
        <v>59</v>
      </c>
      <c r="E90" s="556" t="s">
        <v>59</v>
      </c>
      <c r="F90" s="556" t="s">
        <v>59</v>
      </c>
      <c r="G90" s="557" t="s">
        <v>59</v>
      </c>
      <c r="H90" s="557" t="s">
        <v>59</v>
      </c>
      <c r="I90" s="555" t="s">
        <v>1701</v>
      </c>
      <c r="J90" s="545"/>
      <c r="N90" s="523" t="s">
        <v>1702</v>
      </c>
      <c r="O90" s="524">
        <v>294</v>
      </c>
    </row>
    <row r="91" spans="2:15">
      <c r="B91" s="558" t="s">
        <v>75</v>
      </c>
      <c r="C91" s="993">
        <v>188.6</v>
      </c>
      <c r="D91" s="547">
        <v>283</v>
      </c>
      <c r="E91" s="547">
        <v>386</v>
      </c>
      <c r="F91" s="547">
        <v>368</v>
      </c>
      <c r="G91" s="547"/>
      <c r="H91" s="547"/>
      <c r="I91" s="558" t="s">
        <v>975</v>
      </c>
      <c r="J91" s="547"/>
      <c r="N91" s="559" t="s">
        <v>75</v>
      </c>
      <c r="O91" s="521">
        <v>684</v>
      </c>
    </row>
    <row r="92" spans="2:15">
      <c r="B92" s="560" t="s">
        <v>113</v>
      </c>
      <c r="C92" s="994">
        <v>83</v>
      </c>
      <c r="D92" s="525">
        <v>99</v>
      </c>
      <c r="E92" s="525">
        <v>124</v>
      </c>
      <c r="F92" s="525">
        <v>142</v>
      </c>
      <c r="G92" s="525">
        <v>175</v>
      </c>
      <c r="H92" s="525"/>
      <c r="I92" s="561" t="s">
        <v>969</v>
      </c>
      <c r="J92" s="542"/>
      <c r="N92" s="523" t="s">
        <v>113</v>
      </c>
      <c r="O92" s="524">
        <v>194</v>
      </c>
    </row>
    <row r="93" spans="2:15">
      <c r="B93" s="523" t="s">
        <v>968</v>
      </c>
      <c r="C93" s="994">
        <v>25.1</v>
      </c>
      <c r="D93" s="525">
        <v>66</v>
      </c>
      <c r="E93" s="525">
        <v>45</v>
      </c>
      <c r="F93" s="525">
        <v>62</v>
      </c>
      <c r="G93" s="526">
        <v>56</v>
      </c>
      <c r="H93" s="526"/>
      <c r="I93" s="554" t="s">
        <v>967</v>
      </c>
      <c r="J93" s="543"/>
      <c r="N93" s="523" t="s">
        <v>968</v>
      </c>
      <c r="O93" s="524">
        <v>240</v>
      </c>
    </row>
    <row r="94" spans="2:15">
      <c r="B94" s="523" t="s">
        <v>115</v>
      </c>
      <c r="C94" s="994">
        <v>14.8</v>
      </c>
      <c r="D94" s="525">
        <v>32</v>
      </c>
      <c r="E94" s="525">
        <v>32</v>
      </c>
      <c r="F94" s="525">
        <v>59</v>
      </c>
      <c r="G94" s="526">
        <v>64</v>
      </c>
      <c r="H94" s="526"/>
      <c r="I94" s="554" t="s">
        <v>970</v>
      </c>
      <c r="J94" s="543"/>
      <c r="N94" s="523" t="s">
        <v>115</v>
      </c>
      <c r="O94" s="524">
        <v>280</v>
      </c>
    </row>
    <row r="95" spans="2:15">
      <c r="B95" s="534" t="s">
        <v>116</v>
      </c>
      <c r="C95" s="994">
        <v>9.4</v>
      </c>
      <c r="D95" s="525">
        <v>11</v>
      </c>
      <c r="E95" s="525">
        <v>14</v>
      </c>
      <c r="F95" s="525">
        <v>22</v>
      </c>
      <c r="G95" s="535">
        <v>26</v>
      </c>
      <c r="H95" s="535"/>
      <c r="I95" s="562" t="s">
        <v>116</v>
      </c>
      <c r="J95" s="543"/>
      <c r="N95" s="534" t="s">
        <v>116</v>
      </c>
      <c r="O95" s="524">
        <v>50</v>
      </c>
    </row>
    <row r="96" spans="2:15">
      <c r="B96" s="523" t="s">
        <v>141</v>
      </c>
      <c r="C96" s="994">
        <v>9.9</v>
      </c>
      <c r="D96" s="525">
        <v>18</v>
      </c>
      <c r="E96" s="525"/>
      <c r="F96" s="525"/>
      <c r="G96" s="535">
        <v>24</v>
      </c>
      <c r="H96" s="535"/>
      <c r="I96" s="562" t="s">
        <v>976</v>
      </c>
      <c r="J96" s="543"/>
      <c r="N96" s="523" t="s">
        <v>141</v>
      </c>
      <c r="O96" s="524">
        <v>208</v>
      </c>
    </row>
    <row r="97" spans="2:15">
      <c r="B97" s="555" t="s">
        <v>977</v>
      </c>
      <c r="C97" s="994">
        <v>46.4</v>
      </c>
      <c r="D97" s="556">
        <v>57</v>
      </c>
      <c r="E97" s="556">
        <v>172</v>
      </c>
      <c r="F97" s="556">
        <v>114</v>
      </c>
      <c r="G97" s="557">
        <v>83</v>
      </c>
      <c r="H97" s="557"/>
      <c r="I97" s="555" t="s">
        <v>972</v>
      </c>
      <c r="J97" s="545"/>
      <c r="N97" s="523" t="s">
        <v>978</v>
      </c>
      <c r="O97" s="524">
        <v>300</v>
      </c>
    </row>
    <row r="98" spans="2:15">
      <c r="B98" s="558" t="s">
        <v>52</v>
      </c>
      <c r="C98" s="993">
        <v>2814.6</v>
      </c>
      <c r="D98" s="547">
        <v>3107</v>
      </c>
      <c r="E98" s="547">
        <v>3108</v>
      </c>
      <c r="F98" s="547">
        <v>3167</v>
      </c>
      <c r="G98" s="547"/>
      <c r="H98" s="547"/>
      <c r="I98" s="558"/>
      <c r="J98" s="547"/>
      <c r="N98" s="563" t="s">
        <v>52</v>
      </c>
      <c r="O98" s="547">
        <v>1465</v>
      </c>
    </row>
    <row r="99" spans="2:15">
      <c r="B99" s="537" t="s">
        <v>979</v>
      </c>
      <c r="D99" s="23"/>
      <c r="N99" s="41" t="s">
        <v>1699</v>
      </c>
    </row>
    <row r="100" spans="2:15">
      <c r="B100" s="537" t="s">
        <v>980</v>
      </c>
    </row>
    <row r="101" spans="2:15">
      <c r="B101" s="537" t="s">
        <v>981</v>
      </c>
    </row>
    <row r="102" spans="2:15">
      <c r="B102" s="537" t="s">
        <v>982</v>
      </c>
    </row>
    <row r="103" spans="2:15">
      <c r="B103" s="537" t="s">
        <v>1704</v>
      </c>
    </row>
    <row r="104" spans="2:15">
      <c r="B104" s="41" t="s">
        <v>1699</v>
      </c>
    </row>
    <row r="105" spans="2:15">
      <c r="B105" s="41"/>
    </row>
    <row r="106" spans="2:15" ht="15.6">
      <c r="B106" s="86" t="s">
        <v>432</v>
      </c>
      <c r="D106" s="86"/>
      <c r="E106" s="86"/>
      <c r="N106" s="86" t="s">
        <v>432</v>
      </c>
    </row>
    <row r="107" spans="2:15" ht="16.2">
      <c r="B107" s="81" t="s">
        <v>797</v>
      </c>
      <c r="D107" s="86"/>
      <c r="E107" s="86"/>
      <c r="N107" s="81" t="s">
        <v>2</v>
      </c>
    </row>
    <row r="108" spans="2:15">
      <c r="B108" s="518"/>
      <c r="C108" s="992">
        <v>2021</v>
      </c>
      <c r="D108" s="519">
        <v>2017</v>
      </c>
      <c r="E108" s="519">
        <v>2012</v>
      </c>
      <c r="F108" s="519">
        <v>2008</v>
      </c>
      <c r="G108" s="519">
        <v>2004</v>
      </c>
      <c r="H108" s="519">
        <v>2000</v>
      </c>
      <c r="I108" s="518"/>
      <c r="J108" s="518"/>
      <c r="N108" s="518"/>
      <c r="O108" s="519">
        <v>2021</v>
      </c>
    </row>
    <row r="109" spans="2:15">
      <c r="B109" s="520" t="s">
        <v>66</v>
      </c>
      <c r="C109" s="1002" t="s">
        <v>1880</v>
      </c>
      <c r="D109" s="522" t="s">
        <v>1883</v>
      </c>
      <c r="E109" s="522" t="s">
        <v>1884</v>
      </c>
      <c r="F109" s="522" t="s">
        <v>1885</v>
      </c>
      <c r="G109" s="522">
        <v>2319</v>
      </c>
      <c r="H109" s="522"/>
      <c r="I109" s="520" t="s">
        <v>965</v>
      </c>
      <c r="J109" s="542"/>
      <c r="N109" s="520" t="s">
        <v>983</v>
      </c>
      <c r="O109" s="521">
        <v>1232</v>
      </c>
    </row>
    <row r="110" spans="2:15">
      <c r="B110" s="523" t="s">
        <v>64</v>
      </c>
      <c r="C110" s="992"/>
      <c r="D110" s="522"/>
      <c r="E110" s="522"/>
      <c r="F110" s="522"/>
      <c r="G110" s="526">
        <v>1701</v>
      </c>
      <c r="H110" s="526">
        <v>543</v>
      </c>
      <c r="I110" s="523" t="s">
        <v>984</v>
      </c>
      <c r="J110" s="543"/>
      <c r="N110" s="523" t="s">
        <v>985</v>
      </c>
      <c r="O110" s="524">
        <v>1209</v>
      </c>
    </row>
    <row r="111" spans="2:15">
      <c r="B111" s="523" t="s">
        <v>986</v>
      </c>
      <c r="C111" s="992"/>
      <c r="D111" s="522"/>
      <c r="E111" s="522"/>
      <c r="F111" s="522"/>
      <c r="G111" s="526">
        <v>636</v>
      </c>
      <c r="H111" s="526"/>
      <c r="I111" s="523" t="s">
        <v>987</v>
      </c>
      <c r="J111" s="543"/>
      <c r="N111" s="523" t="s">
        <v>988</v>
      </c>
      <c r="O111" s="524">
        <v>143</v>
      </c>
    </row>
    <row r="112" spans="2:15">
      <c r="B112" s="523" t="s">
        <v>989</v>
      </c>
      <c r="C112" s="992"/>
      <c r="D112" s="522"/>
      <c r="E112" s="522"/>
      <c r="F112" s="522"/>
      <c r="G112" s="526">
        <v>351</v>
      </c>
      <c r="H112" s="526"/>
      <c r="I112" s="523" t="s">
        <v>990</v>
      </c>
      <c r="J112" s="543"/>
      <c r="N112" s="520" t="s">
        <v>991</v>
      </c>
      <c r="O112" s="521">
        <v>2253</v>
      </c>
    </row>
    <row r="113" spans="2:16">
      <c r="B113" s="523" t="s">
        <v>155</v>
      </c>
      <c r="C113" s="992"/>
      <c r="D113" s="522"/>
      <c r="E113" s="522"/>
      <c r="F113" s="522"/>
      <c r="G113" s="526">
        <v>283</v>
      </c>
      <c r="H113" s="526">
        <v>1020</v>
      </c>
      <c r="I113" s="523" t="s">
        <v>992</v>
      </c>
      <c r="J113" s="543"/>
      <c r="N113" s="523" t="s">
        <v>985</v>
      </c>
      <c r="O113" s="524">
        <v>2199</v>
      </c>
    </row>
    <row r="114" spans="2:16">
      <c r="B114" s="523" t="s">
        <v>993</v>
      </c>
      <c r="C114" s="992"/>
      <c r="D114" s="522"/>
      <c r="E114" s="522"/>
      <c r="F114" s="522"/>
      <c r="G114" s="526">
        <v>336</v>
      </c>
      <c r="H114" s="526"/>
      <c r="I114" s="523" t="s">
        <v>994</v>
      </c>
      <c r="J114" s="543"/>
      <c r="N114" s="523" t="s">
        <v>988</v>
      </c>
      <c r="O114" s="524">
        <v>332</v>
      </c>
    </row>
    <row r="115" spans="2:16">
      <c r="B115" s="520" t="s">
        <v>75</v>
      </c>
      <c r="C115" s="992" t="s">
        <v>1881</v>
      </c>
      <c r="D115" s="522" t="s">
        <v>1882</v>
      </c>
      <c r="E115" s="522" t="s">
        <v>1887</v>
      </c>
      <c r="F115" s="522" t="s">
        <v>1886</v>
      </c>
      <c r="G115" s="530">
        <v>3004</v>
      </c>
      <c r="H115" s="526"/>
      <c r="I115" s="520" t="s">
        <v>975</v>
      </c>
      <c r="J115" s="543"/>
      <c r="N115" s="563" t="s">
        <v>52</v>
      </c>
      <c r="O115" s="547">
        <f>O109+O112</f>
        <v>3485</v>
      </c>
    </row>
    <row r="116" spans="2:16">
      <c r="B116" s="523" t="s">
        <v>64</v>
      </c>
      <c r="C116" s="992"/>
      <c r="D116" s="522"/>
      <c r="E116" s="522"/>
      <c r="F116" s="522"/>
      <c r="G116" s="526">
        <v>1943</v>
      </c>
      <c r="H116" s="526">
        <v>2418</v>
      </c>
      <c r="I116" s="554" t="s">
        <v>984</v>
      </c>
      <c r="J116" s="543"/>
      <c r="N116" s="41" t="s">
        <v>1699</v>
      </c>
    </row>
    <row r="117" spans="2:16">
      <c r="B117" s="523" t="s">
        <v>995</v>
      </c>
      <c r="C117" s="992"/>
      <c r="D117" s="522"/>
      <c r="E117" s="522"/>
      <c r="F117" s="522"/>
      <c r="G117" s="526">
        <v>992</v>
      </c>
      <c r="H117" s="526"/>
      <c r="I117" s="554" t="s">
        <v>996</v>
      </c>
      <c r="J117" s="543"/>
    </row>
    <row r="118" spans="2:16">
      <c r="B118" s="523" t="s">
        <v>997</v>
      </c>
      <c r="C118" s="992"/>
      <c r="D118" s="522"/>
      <c r="E118" s="522"/>
      <c r="F118" s="522"/>
      <c r="G118" s="526">
        <v>64</v>
      </c>
      <c r="H118" s="526"/>
      <c r="I118" s="554" t="s">
        <v>998</v>
      </c>
      <c r="J118" s="543"/>
    </row>
    <row r="119" spans="2:16">
      <c r="B119" s="555" t="s">
        <v>999</v>
      </c>
      <c r="C119" s="992"/>
      <c r="D119" s="564"/>
      <c r="E119" s="564"/>
      <c r="F119" s="564"/>
      <c r="G119" s="557">
        <v>4</v>
      </c>
      <c r="H119" s="557"/>
      <c r="I119" s="565" t="s">
        <v>1000</v>
      </c>
      <c r="J119" s="545"/>
    </row>
    <row r="120" spans="2:16">
      <c r="B120" s="558" t="s">
        <v>52</v>
      </c>
      <c r="C120" s="993">
        <v>2998.5</v>
      </c>
      <c r="D120" s="547">
        <v>2985</v>
      </c>
      <c r="E120" s="547">
        <v>3150</v>
      </c>
      <c r="F120" s="547">
        <v>3503</v>
      </c>
      <c r="G120" s="547">
        <v>5323</v>
      </c>
      <c r="H120" s="547"/>
      <c r="I120" s="558"/>
      <c r="J120" s="547"/>
    </row>
    <row r="121" spans="2:16">
      <c r="B121" s="87" t="s">
        <v>1001</v>
      </c>
      <c r="C121" s="87"/>
      <c r="D121" s="87"/>
      <c r="E121" s="82"/>
      <c r="F121" s="82"/>
      <c r="G121" s="82"/>
      <c r="H121" s="82"/>
    </row>
    <row r="122" spans="2:16" ht="15" customHeight="1">
      <c r="B122" s="87" t="s">
        <v>1002</v>
      </c>
      <c r="C122" s="87"/>
      <c r="D122" s="87"/>
      <c r="E122" s="82"/>
      <c r="F122" s="82"/>
      <c r="G122" s="82"/>
      <c r="H122" s="82"/>
    </row>
    <row r="123" spans="2:16">
      <c r="B123" s="41" t="s">
        <v>1699</v>
      </c>
      <c r="C123" s="87"/>
      <c r="D123" s="87"/>
      <c r="E123" s="82"/>
      <c r="F123" s="82"/>
      <c r="G123" s="82"/>
      <c r="H123" s="82"/>
    </row>
    <row r="124" spans="2:16" ht="15" customHeight="1">
      <c r="B124" s="82"/>
      <c r="C124" s="566"/>
      <c r="D124" s="567"/>
      <c r="E124" s="82"/>
      <c r="F124" s="82"/>
      <c r="G124" s="82"/>
      <c r="H124" s="82"/>
    </row>
    <row r="126" spans="2:16" ht="15.6">
      <c r="B126" s="86" t="s">
        <v>356</v>
      </c>
      <c r="D126" s="568"/>
      <c r="E126" s="86"/>
      <c r="N126" s="86" t="s">
        <v>564</v>
      </c>
    </row>
    <row r="127" spans="2:16" ht="15.6">
      <c r="B127" s="81" t="s">
        <v>46</v>
      </c>
      <c r="D127" s="86"/>
      <c r="E127" s="86"/>
      <c r="N127" s="81" t="s">
        <v>2</v>
      </c>
    </row>
    <row r="128" spans="2:16">
      <c r="B128" s="194"/>
      <c r="C128" s="992">
        <v>2021</v>
      </c>
      <c r="D128" s="519">
        <v>2017</v>
      </c>
      <c r="E128" s="519">
        <v>2012</v>
      </c>
      <c r="F128" s="115">
        <v>2008</v>
      </c>
      <c r="G128" s="115">
        <v>2004</v>
      </c>
      <c r="H128" s="115">
        <v>2000</v>
      </c>
      <c r="I128" s="194"/>
      <c r="J128" s="194"/>
      <c r="N128" s="518"/>
      <c r="O128" s="519">
        <v>2021</v>
      </c>
      <c r="P128" s="1004"/>
    </row>
    <row r="129" spans="2:16" ht="22.8">
      <c r="B129" s="569" t="s">
        <v>1003</v>
      </c>
      <c r="C129" s="995">
        <v>7234.6</v>
      </c>
      <c r="D129" s="564">
        <v>7975</v>
      </c>
      <c r="E129" s="570">
        <v>11532</v>
      </c>
      <c r="F129" s="570">
        <v>12146</v>
      </c>
      <c r="G129" s="570">
        <v>11310</v>
      </c>
      <c r="H129" s="570">
        <v>12341</v>
      </c>
      <c r="I129" s="571" t="s">
        <v>1004</v>
      </c>
      <c r="J129" s="571"/>
      <c r="N129" s="572" t="s">
        <v>1003</v>
      </c>
      <c r="O129" s="547">
        <v>1528</v>
      </c>
      <c r="P129" s="564"/>
    </row>
    <row r="130" spans="2:16" ht="21.6">
      <c r="B130" s="573" t="s">
        <v>1005</v>
      </c>
      <c r="C130" s="996">
        <v>2930.6</v>
      </c>
      <c r="D130" s="556">
        <v>3423</v>
      </c>
      <c r="E130" s="575">
        <v>3428</v>
      </c>
      <c r="F130" s="575">
        <v>3773</v>
      </c>
      <c r="G130" s="575" t="s">
        <v>59</v>
      </c>
      <c r="H130" s="575" t="s">
        <v>59</v>
      </c>
      <c r="I130" s="576" t="s">
        <v>1006</v>
      </c>
      <c r="J130" s="543"/>
      <c r="N130" s="573" t="s">
        <v>1005</v>
      </c>
      <c r="O130" s="574">
        <v>686</v>
      </c>
      <c r="P130" s="556"/>
    </row>
    <row r="131" spans="2:16">
      <c r="B131" s="573" t="s">
        <v>1007</v>
      </c>
      <c r="C131" s="996">
        <v>1189.4000000000001</v>
      </c>
      <c r="D131" s="556">
        <v>1316</v>
      </c>
      <c r="E131" s="575" t="s">
        <v>59</v>
      </c>
      <c r="F131" s="575" t="s">
        <v>59</v>
      </c>
      <c r="G131" s="575" t="s">
        <v>59</v>
      </c>
      <c r="H131" s="575" t="s">
        <v>59</v>
      </c>
      <c r="I131" s="576" t="s">
        <v>1008</v>
      </c>
      <c r="J131" s="543"/>
      <c r="N131" s="573" t="s">
        <v>1007</v>
      </c>
      <c r="O131" s="574">
        <v>658</v>
      </c>
      <c r="P131" s="556"/>
    </row>
    <row r="132" spans="2:16" ht="15" customHeight="1">
      <c r="B132" s="573" t="s">
        <v>1009</v>
      </c>
      <c r="C132" s="996">
        <v>498.1</v>
      </c>
      <c r="D132" s="556">
        <v>492</v>
      </c>
      <c r="E132" s="575">
        <v>656</v>
      </c>
      <c r="F132" s="575">
        <v>635</v>
      </c>
      <c r="G132" s="575"/>
      <c r="H132" s="575"/>
      <c r="I132" s="576" t="s">
        <v>1010</v>
      </c>
      <c r="J132" s="543"/>
      <c r="N132" s="573" t="s">
        <v>1009</v>
      </c>
      <c r="O132" s="574">
        <v>356</v>
      </c>
      <c r="P132" s="556"/>
    </row>
    <row r="133" spans="2:16" ht="15" customHeight="1">
      <c r="B133" s="573" t="s">
        <v>1011</v>
      </c>
      <c r="C133" s="996">
        <v>341.9</v>
      </c>
      <c r="D133" s="556">
        <v>451</v>
      </c>
      <c r="E133" s="575" t="s">
        <v>59</v>
      </c>
      <c r="F133" s="575" t="s">
        <v>59</v>
      </c>
      <c r="G133" s="575" t="s">
        <v>59</v>
      </c>
      <c r="H133" s="575" t="s">
        <v>59</v>
      </c>
      <c r="I133" s="576" t="s">
        <v>1012</v>
      </c>
      <c r="J133" s="543"/>
      <c r="N133" s="573" t="s">
        <v>1011</v>
      </c>
      <c r="O133" s="574">
        <v>352</v>
      </c>
      <c r="P133" s="556"/>
    </row>
    <row r="134" spans="2:16">
      <c r="B134" s="573" t="s">
        <v>1013</v>
      </c>
      <c r="C134" s="996">
        <v>191.6</v>
      </c>
      <c r="D134" s="556">
        <v>183</v>
      </c>
      <c r="E134" s="575">
        <v>280</v>
      </c>
      <c r="F134" s="575">
        <v>354</v>
      </c>
      <c r="G134" s="575" t="s">
        <v>59</v>
      </c>
      <c r="H134" s="575" t="s">
        <v>59</v>
      </c>
      <c r="I134" s="576" t="s">
        <v>1014</v>
      </c>
      <c r="J134" s="543"/>
      <c r="N134" s="573" t="s">
        <v>1013</v>
      </c>
      <c r="O134" s="574">
        <v>395</v>
      </c>
      <c r="P134" s="556"/>
    </row>
    <row r="135" spans="2:16">
      <c r="B135" s="569" t="s">
        <v>1015</v>
      </c>
      <c r="C135" s="995">
        <v>2079.8000000000002</v>
      </c>
      <c r="D135" s="564">
        <v>2047</v>
      </c>
      <c r="E135" s="570" t="s">
        <v>59</v>
      </c>
      <c r="F135" s="570" t="s">
        <v>59</v>
      </c>
      <c r="G135" s="570" t="s">
        <v>59</v>
      </c>
      <c r="H135" s="570" t="s">
        <v>59</v>
      </c>
      <c r="I135" s="571" t="s">
        <v>1016</v>
      </c>
      <c r="J135" s="571"/>
      <c r="N135" s="569" t="s">
        <v>1015</v>
      </c>
      <c r="O135" s="547">
        <v>842</v>
      </c>
      <c r="P135" s="564"/>
    </row>
    <row r="136" spans="2:16">
      <c r="B136" s="573" t="s">
        <v>1017</v>
      </c>
      <c r="C136" s="996">
        <v>1102.9000000000001</v>
      </c>
      <c r="D136" s="556">
        <v>1133</v>
      </c>
      <c r="E136" s="570"/>
      <c r="F136" s="570"/>
      <c r="G136" s="570"/>
      <c r="H136" s="570"/>
      <c r="I136" s="576" t="s">
        <v>1018</v>
      </c>
      <c r="J136" s="576"/>
      <c r="N136" s="573" t="s">
        <v>1017</v>
      </c>
      <c r="O136" s="574">
        <v>707</v>
      </c>
      <c r="P136" s="556"/>
    </row>
    <row r="137" spans="2:16">
      <c r="B137" s="573" t="s">
        <v>1019</v>
      </c>
      <c r="C137" s="996">
        <v>977</v>
      </c>
      <c r="D137" s="556">
        <v>914</v>
      </c>
      <c r="E137" s="570"/>
      <c r="F137" s="570"/>
      <c r="G137" s="570"/>
      <c r="H137" s="570"/>
      <c r="I137" s="576" t="s">
        <v>1020</v>
      </c>
      <c r="J137" s="576"/>
      <c r="N137" s="573" t="s">
        <v>1019</v>
      </c>
      <c r="O137" s="574">
        <v>693</v>
      </c>
      <c r="P137" s="556"/>
    </row>
    <row r="138" spans="2:16">
      <c r="B138" s="569" t="s">
        <v>1021</v>
      </c>
      <c r="C138" s="995">
        <v>83.7</v>
      </c>
      <c r="D138" s="564">
        <v>121</v>
      </c>
      <c r="E138" s="570">
        <v>197</v>
      </c>
      <c r="F138" s="570">
        <v>210</v>
      </c>
      <c r="G138" s="570">
        <v>245</v>
      </c>
      <c r="H138" s="570" t="s">
        <v>59</v>
      </c>
      <c r="I138" s="987" t="s">
        <v>1022</v>
      </c>
      <c r="J138" s="543"/>
      <c r="N138" s="569" t="s">
        <v>1021</v>
      </c>
      <c r="O138" s="547">
        <v>96</v>
      </c>
      <c r="P138" s="564"/>
    </row>
    <row r="139" spans="2:16">
      <c r="B139" s="569" t="s">
        <v>1023</v>
      </c>
      <c r="C139" s="995">
        <v>178.6</v>
      </c>
      <c r="D139" s="564">
        <v>202</v>
      </c>
      <c r="E139" s="570">
        <v>274</v>
      </c>
      <c r="F139" s="570">
        <v>289</v>
      </c>
      <c r="G139" s="570">
        <v>325</v>
      </c>
      <c r="H139" s="570" t="s">
        <v>59</v>
      </c>
      <c r="I139" s="987" t="s">
        <v>1024</v>
      </c>
      <c r="J139" s="543"/>
      <c r="N139" s="569" t="s">
        <v>1023</v>
      </c>
      <c r="O139" s="547">
        <v>264</v>
      </c>
      <c r="P139" s="564"/>
    </row>
    <row r="140" spans="2:16">
      <c r="B140" s="569" t="s">
        <v>292</v>
      </c>
      <c r="C140" s="995">
        <v>2023.2</v>
      </c>
      <c r="D140" s="564">
        <v>1829</v>
      </c>
      <c r="E140" s="570">
        <v>2180</v>
      </c>
      <c r="F140" s="570">
        <v>2258</v>
      </c>
      <c r="G140" s="570">
        <v>2519</v>
      </c>
      <c r="H140" s="570">
        <v>3349</v>
      </c>
      <c r="I140" s="577" t="s">
        <v>1025</v>
      </c>
      <c r="J140" s="543"/>
      <c r="N140" s="569" t="s">
        <v>292</v>
      </c>
      <c r="O140" s="547">
        <v>250</v>
      </c>
      <c r="P140" s="564"/>
    </row>
    <row r="141" spans="2:16">
      <c r="B141" s="573" t="s">
        <v>1026</v>
      </c>
      <c r="C141" s="996">
        <v>1001.8</v>
      </c>
      <c r="D141" s="556">
        <v>988</v>
      </c>
      <c r="E141" s="575">
        <v>1138</v>
      </c>
      <c r="F141" s="575">
        <v>1351</v>
      </c>
      <c r="G141" s="575" t="s">
        <v>59</v>
      </c>
      <c r="H141" s="575" t="s">
        <v>59</v>
      </c>
      <c r="I141" s="987" t="s">
        <v>1020</v>
      </c>
      <c r="J141" s="543"/>
      <c r="N141" s="573" t="s">
        <v>1026</v>
      </c>
      <c r="O141" s="574">
        <v>196</v>
      </c>
      <c r="P141" s="556"/>
    </row>
    <row r="142" spans="2:16">
      <c r="B142" s="573" t="s">
        <v>1017</v>
      </c>
      <c r="C142" s="996">
        <v>1021.4</v>
      </c>
      <c r="D142" s="556">
        <v>840</v>
      </c>
      <c r="E142" s="575">
        <v>1042</v>
      </c>
      <c r="F142" s="575">
        <v>907</v>
      </c>
      <c r="G142" s="575" t="s">
        <v>59</v>
      </c>
      <c r="H142" s="575" t="s">
        <v>59</v>
      </c>
      <c r="I142" s="987" t="s">
        <v>1018</v>
      </c>
      <c r="J142" s="543"/>
      <c r="N142" s="573" t="s">
        <v>1017</v>
      </c>
      <c r="O142" s="574">
        <v>178</v>
      </c>
      <c r="P142" s="556"/>
    </row>
    <row r="143" spans="2:16" ht="21.6">
      <c r="B143" s="569" t="s">
        <v>1027</v>
      </c>
      <c r="C143" s="995">
        <v>312.8</v>
      </c>
      <c r="D143" s="564">
        <v>684</v>
      </c>
      <c r="E143" s="570">
        <v>724</v>
      </c>
      <c r="F143" s="570">
        <v>1203</v>
      </c>
      <c r="G143" s="570">
        <v>2537</v>
      </c>
      <c r="H143" s="570"/>
      <c r="I143" s="987" t="s">
        <v>1028</v>
      </c>
      <c r="J143" s="987"/>
      <c r="N143" s="569" t="s">
        <v>1027</v>
      </c>
      <c r="O143" s="547">
        <v>185</v>
      </c>
      <c r="P143" s="564"/>
    </row>
    <row r="144" spans="2:16">
      <c r="B144" s="569" t="s">
        <v>1029</v>
      </c>
      <c r="C144" s="995">
        <v>858.80000000000007</v>
      </c>
      <c r="D144" s="564">
        <v>974</v>
      </c>
      <c r="E144" s="570">
        <v>873</v>
      </c>
      <c r="F144" s="570">
        <v>955</v>
      </c>
      <c r="G144" s="570">
        <v>1049</v>
      </c>
      <c r="H144" s="570">
        <v>1359</v>
      </c>
      <c r="I144" s="578" t="s">
        <v>1030</v>
      </c>
      <c r="J144" s="543"/>
      <c r="N144" s="569" t="s">
        <v>1029</v>
      </c>
      <c r="O144" s="547">
        <v>668</v>
      </c>
      <c r="P144" s="564"/>
    </row>
    <row r="145" spans="2:16">
      <c r="B145" s="579" t="s">
        <v>1031</v>
      </c>
      <c r="C145" s="995">
        <v>3979.8</v>
      </c>
      <c r="D145" s="564">
        <v>3814</v>
      </c>
      <c r="E145" s="1003">
        <v>5972</v>
      </c>
      <c r="F145" s="1003">
        <v>5537</v>
      </c>
      <c r="G145" s="1003">
        <v>7535</v>
      </c>
      <c r="H145" s="1003">
        <v>7642</v>
      </c>
      <c r="I145" s="986" t="s">
        <v>1032</v>
      </c>
      <c r="J145" s="986"/>
      <c r="N145" s="579" t="s">
        <v>1031</v>
      </c>
      <c r="O145" s="547">
        <v>875</v>
      </c>
      <c r="P145" s="564"/>
    </row>
    <row r="146" spans="2:16">
      <c r="B146" s="558" t="s">
        <v>1033</v>
      </c>
      <c r="C146" s="547">
        <v>17159.900000000001</v>
      </c>
      <c r="D146" s="547">
        <v>18613</v>
      </c>
      <c r="E146" s="547">
        <v>21753</v>
      </c>
      <c r="F146" s="547">
        <v>22597</v>
      </c>
      <c r="G146" s="547">
        <v>25520</v>
      </c>
      <c r="H146" s="547">
        <v>24690</v>
      </c>
      <c r="I146" s="558" t="s">
        <v>1034</v>
      </c>
      <c r="J146" s="547"/>
      <c r="N146" s="558" t="s">
        <v>52</v>
      </c>
      <c r="O146" s="547">
        <v>1536</v>
      </c>
      <c r="P146" s="564"/>
    </row>
    <row r="147" spans="2:16">
      <c r="B147" s="1562" t="s">
        <v>1035</v>
      </c>
      <c r="C147" s="1562"/>
      <c r="D147" s="1562"/>
      <c r="E147" s="580"/>
      <c r="F147" s="580"/>
      <c r="G147" s="580"/>
      <c r="H147" s="581"/>
      <c r="I147" s="582"/>
      <c r="N147" s="41" t="s">
        <v>1705</v>
      </c>
    </row>
    <row r="148" spans="2:16">
      <c r="B148" s="41" t="s">
        <v>1705</v>
      </c>
      <c r="C148" s="580"/>
      <c r="D148" s="580"/>
      <c r="E148" s="580"/>
      <c r="F148" s="580"/>
      <c r="G148" s="580"/>
      <c r="H148" s="581"/>
      <c r="I148" s="582"/>
    </row>
    <row r="149" spans="2:16">
      <c r="B149" s="583"/>
      <c r="C149" s="580"/>
      <c r="D149" s="580"/>
      <c r="E149" s="580"/>
      <c r="F149" s="580"/>
      <c r="G149" s="580"/>
      <c r="H149" s="581"/>
      <c r="I149" s="582"/>
    </row>
    <row r="150" spans="2:16">
      <c r="B150" s="583"/>
      <c r="C150" s="580"/>
      <c r="D150" s="580"/>
      <c r="E150" s="580"/>
      <c r="F150" s="580"/>
      <c r="G150" s="580"/>
      <c r="H150" s="581"/>
      <c r="I150" s="582"/>
    </row>
    <row r="151" spans="2:16" ht="15.6">
      <c r="B151" s="86" t="s">
        <v>1036</v>
      </c>
      <c r="C151" s="580"/>
      <c r="D151" s="580"/>
      <c r="E151" s="580"/>
      <c r="F151" s="580"/>
      <c r="G151" s="580"/>
      <c r="H151" s="581"/>
      <c r="I151" s="582"/>
    </row>
    <row r="152" spans="2:16">
      <c r="B152" s="81" t="s">
        <v>46</v>
      </c>
      <c r="C152" s="580"/>
      <c r="D152" s="584"/>
      <c r="E152" s="584"/>
      <c r="F152" s="584"/>
      <c r="G152" s="584"/>
      <c r="H152" s="585"/>
      <c r="I152" s="587"/>
    </row>
    <row r="153" spans="2:16">
      <c r="B153" s="194"/>
      <c r="C153" s="519">
        <v>2021</v>
      </c>
      <c r="D153" s="519">
        <v>2017</v>
      </c>
      <c r="E153" s="115">
        <v>2012</v>
      </c>
      <c r="F153" s="115">
        <v>2008</v>
      </c>
      <c r="G153" s="115">
        <v>2004</v>
      </c>
      <c r="H153" s="115">
        <v>2000</v>
      </c>
      <c r="I153" s="194"/>
      <c r="J153" s="194"/>
    </row>
    <row r="154" spans="2:16">
      <c r="B154" s="588" t="s">
        <v>51</v>
      </c>
      <c r="C154" s="574">
        <v>15274.7</v>
      </c>
      <c r="D154" s="584">
        <v>16095</v>
      </c>
      <c r="E154" s="584">
        <v>19777</v>
      </c>
      <c r="F154" s="584">
        <v>20716</v>
      </c>
      <c r="G154" s="584" t="s">
        <v>59</v>
      </c>
      <c r="H154" s="584" t="s">
        <v>59</v>
      </c>
      <c r="I154" s="586" t="s">
        <v>1037</v>
      </c>
      <c r="J154" s="587"/>
    </row>
    <row r="155" spans="2:16" ht="15" customHeight="1">
      <c r="B155" s="589" t="s">
        <v>1038</v>
      </c>
      <c r="C155" s="574">
        <v>1568.2</v>
      </c>
      <c r="D155" s="590">
        <v>1550</v>
      </c>
      <c r="E155" s="590">
        <v>1977</v>
      </c>
      <c r="F155" s="590">
        <v>1881</v>
      </c>
      <c r="G155" s="590" t="s">
        <v>59</v>
      </c>
      <c r="H155" s="590" t="s">
        <v>59</v>
      </c>
      <c r="I155" s="1005" t="s">
        <v>1039</v>
      </c>
      <c r="J155" s="1005"/>
    </row>
    <row r="156" spans="2:16">
      <c r="B156" s="591" t="s">
        <v>1040</v>
      </c>
      <c r="C156" s="574">
        <v>317</v>
      </c>
      <c r="D156" s="580">
        <v>969</v>
      </c>
      <c r="E156" s="580" t="s">
        <v>59</v>
      </c>
      <c r="F156" s="580" t="s">
        <v>59</v>
      </c>
      <c r="G156" s="580" t="s">
        <v>59</v>
      </c>
      <c r="H156" s="580" t="s">
        <v>59</v>
      </c>
      <c r="I156" s="1006" t="s">
        <v>1041</v>
      </c>
      <c r="J156" s="1006"/>
    </row>
    <row r="157" spans="2:16" ht="15" customHeight="1">
      <c r="B157" s="558" t="s">
        <v>1033</v>
      </c>
      <c r="C157" s="547">
        <v>17159.900000000001</v>
      </c>
      <c r="D157" s="547">
        <v>18613</v>
      </c>
      <c r="E157" s="547">
        <v>21753</v>
      </c>
      <c r="F157" s="547">
        <v>22597</v>
      </c>
      <c r="G157" s="547">
        <v>25520</v>
      </c>
      <c r="H157" s="547">
        <v>24690</v>
      </c>
      <c r="I157" s="1007" t="s">
        <v>1034</v>
      </c>
      <c r="J157" s="1007"/>
    </row>
    <row r="158" spans="2:16">
      <c r="B158" s="10" t="s">
        <v>1706</v>
      </c>
      <c r="C158" s="92"/>
      <c r="D158" s="92"/>
    </row>
    <row r="159" spans="2:16">
      <c r="B159" s="92"/>
      <c r="C159" s="592"/>
      <c r="D159" s="92"/>
    </row>
    <row r="160" spans="2:16">
      <c r="B160" s="583"/>
      <c r="C160" s="580"/>
      <c r="D160" s="580"/>
      <c r="E160" s="580"/>
      <c r="F160" s="580"/>
      <c r="G160" s="580"/>
      <c r="H160" s="581"/>
      <c r="I160" s="582"/>
      <c r="J160" s="582"/>
    </row>
    <row r="161" spans="2:11" ht="15.6">
      <c r="B161" s="83" t="s">
        <v>1042</v>
      </c>
      <c r="C161" s="83"/>
      <c r="D161" s="83"/>
      <c r="E161" s="83"/>
      <c r="F161" s="83"/>
    </row>
    <row r="162" spans="2:11" ht="15.6">
      <c r="B162" s="93" t="s">
        <v>1043</v>
      </c>
      <c r="C162" s="83"/>
      <c r="D162" s="83"/>
      <c r="E162" s="83"/>
      <c r="F162" s="83"/>
    </row>
    <row r="163" spans="2:11">
      <c r="B163" s="194"/>
      <c r="C163" s="228" t="s">
        <v>1707</v>
      </c>
      <c r="D163" s="228"/>
      <c r="E163" s="228" t="s">
        <v>1044</v>
      </c>
      <c r="F163" s="228"/>
      <c r="G163" s="228" t="s">
        <v>1045</v>
      </c>
      <c r="H163" s="228"/>
      <c r="I163" s="228" t="s">
        <v>1046</v>
      </c>
      <c r="J163" s="228"/>
      <c r="K163" s="194"/>
    </row>
    <row r="164" spans="2:11">
      <c r="B164" s="156"/>
      <c r="C164" s="6">
        <v>1</v>
      </c>
      <c r="D164" s="6">
        <v>2</v>
      </c>
      <c r="E164" s="6">
        <v>1</v>
      </c>
      <c r="F164" s="6">
        <v>2</v>
      </c>
      <c r="G164" s="6">
        <v>1</v>
      </c>
      <c r="H164" s="6">
        <v>2</v>
      </c>
      <c r="I164" s="6">
        <v>1</v>
      </c>
      <c r="J164" s="6">
        <v>2</v>
      </c>
      <c r="K164" s="156"/>
    </row>
    <row r="165" spans="2:11" ht="22.5" customHeight="1">
      <c r="B165" s="593" t="s">
        <v>849</v>
      </c>
      <c r="C165" s="594">
        <v>812.14700000000005</v>
      </c>
      <c r="D165" s="595">
        <v>621.94100000000003</v>
      </c>
      <c r="E165" s="594">
        <v>985</v>
      </c>
      <c r="F165" s="595">
        <v>737.8</v>
      </c>
      <c r="G165" s="594">
        <v>1188.3</v>
      </c>
      <c r="H165" s="595">
        <v>393.3</v>
      </c>
      <c r="I165" s="595">
        <v>1165.2</v>
      </c>
      <c r="J165" s="595">
        <v>372.5</v>
      </c>
      <c r="K165" s="593" t="s">
        <v>1047</v>
      </c>
    </row>
    <row r="166" spans="2:11">
      <c r="B166" s="596" t="s">
        <v>1048</v>
      </c>
      <c r="C166" s="597">
        <v>127</v>
      </c>
      <c r="D166" s="598">
        <v>103</v>
      </c>
      <c r="E166" s="597">
        <v>182.8</v>
      </c>
      <c r="F166" s="598">
        <v>123</v>
      </c>
      <c r="G166" s="597">
        <v>284.7</v>
      </c>
      <c r="H166" s="598">
        <v>20.7</v>
      </c>
      <c r="I166" s="598">
        <v>264.8</v>
      </c>
      <c r="J166" s="598">
        <v>29.8</v>
      </c>
      <c r="K166" s="596" t="s">
        <v>1049</v>
      </c>
    </row>
    <row r="167" spans="2:11">
      <c r="B167" s="596" t="s">
        <v>154</v>
      </c>
      <c r="C167" s="597">
        <v>48.337000000000003</v>
      </c>
      <c r="D167" s="598">
        <v>42.212000000000003</v>
      </c>
      <c r="E167" s="597">
        <v>59.2</v>
      </c>
      <c r="F167" s="598">
        <v>49.5</v>
      </c>
      <c r="G167" s="597">
        <v>95.3</v>
      </c>
      <c r="H167" s="598">
        <v>31.5</v>
      </c>
      <c r="I167" s="598">
        <v>96.5</v>
      </c>
      <c r="J167" s="598">
        <v>24.1</v>
      </c>
      <c r="K167" s="596" t="s">
        <v>154</v>
      </c>
    </row>
    <row r="168" spans="2:11">
      <c r="B168" s="596" t="s">
        <v>1050</v>
      </c>
      <c r="C168" s="597">
        <v>99.016000000000005</v>
      </c>
      <c r="D168" s="598">
        <v>95.591999999999999</v>
      </c>
      <c r="E168" s="597">
        <v>115.6</v>
      </c>
      <c r="F168" s="598">
        <v>98.6</v>
      </c>
      <c r="G168" s="597">
        <v>100.6</v>
      </c>
      <c r="H168" s="598">
        <v>90.5</v>
      </c>
      <c r="I168" s="598">
        <v>96</v>
      </c>
      <c r="J168" s="598">
        <v>70.3</v>
      </c>
      <c r="K168" s="596" t="s">
        <v>1050</v>
      </c>
    </row>
    <row r="169" spans="2:11" ht="20.399999999999999">
      <c r="B169" s="599" t="s">
        <v>1051</v>
      </c>
      <c r="C169" s="597">
        <v>42.691000000000003</v>
      </c>
      <c r="D169" s="598">
        <v>50.241</v>
      </c>
      <c r="E169" s="597">
        <v>63.5</v>
      </c>
      <c r="F169" s="598">
        <v>57.6</v>
      </c>
      <c r="G169" s="597">
        <v>87.5</v>
      </c>
      <c r="H169" s="598">
        <v>22.2</v>
      </c>
      <c r="I169" s="598">
        <v>86.6</v>
      </c>
      <c r="J169" s="598">
        <v>23.8</v>
      </c>
      <c r="K169" s="596" t="s">
        <v>435</v>
      </c>
    </row>
    <row r="170" spans="2:11">
      <c r="B170" s="596" t="s">
        <v>160</v>
      </c>
      <c r="C170" s="597">
        <v>67.242999999999995</v>
      </c>
      <c r="D170" s="598">
        <v>49.816000000000003</v>
      </c>
      <c r="E170" s="597">
        <v>67.400000000000006</v>
      </c>
      <c r="F170" s="598">
        <v>57.9</v>
      </c>
      <c r="G170" s="597">
        <v>88.2</v>
      </c>
      <c r="H170" s="598">
        <v>75.5</v>
      </c>
      <c r="I170" s="598">
        <v>95.9</v>
      </c>
      <c r="J170" s="598">
        <v>97.7</v>
      </c>
      <c r="K170" s="596" t="s">
        <v>1052</v>
      </c>
    </row>
    <row r="171" spans="2:11">
      <c r="B171" s="596" t="s">
        <v>159</v>
      </c>
      <c r="C171" s="597">
        <v>34.997999999999998</v>
      </c>
      <c r="D171" s="598">
        <v>28.09</v>
      </c>
      <c r="E171" s="597">
        <v>50</v>
      </c>
      <c r="F171" s="598">
        <v>50</v>
      </c>
      <c r="G171" s="597">
        <v>43.2</v>
      </c>
      <c r="H171" s="598">
        <v>28.1</v>
      </c>
      <c r="I171" s="598">
        <v>41.1</v>
      </c>
      <c r="J171" s="598">
        <v>14.7</v>
      </c>
      <c r="K171" s="596" t="s">
        <v>1053</v>
      </c>
    </row>
    <row r="172" spans="2:11" ht="20.399999999999999">
      <c r="B172" s="596" t="s">
        <v>282</v>
      </c>
      <c r="C172" s="597">
        <v>16.526</v>
      </c>
      <c r="D172" s="598">
        <v>7.3639999999999999</v>
      </c>
      <c r="E172" s="597">
        <v>21.1</v>
      </c>
      <c r="F172" s="598">
        <v>12.8</v>
      </c>
      <c r="G172" s="597">
        <v>22.1</v>
      </c>
      <c r="H172" s="598">
        <v>13.1</v>
      </c>
      <c r="I172" s="598">
        <v>39</v>
      </c>
      <c r="J172" s="598">
        <v>14</v>
      </c>
      <c r="K172" s="596" t="s">
        <v>1054</v>
      </c>
    </row>
    <row r="173" spans="2:11">
      <c r="B173" s="596" t="s">
        <v>1055</v>
      </c>
      <c r="C173" s="597">
        <v>20.681000000000001</v>
      </c>
      <c r="D173" s="598">
        <v>8.6080000000000005</v>
      </c>
      <c r="E173" s="597">
        <v>22.4</v>
      </c>
      <c r="F173" s="598">
        <v>14.7</v>
      </c>
      <c r="G173" s="597">
        <v>14.6</v>
      </c>
      <c r="H173" s="598">
        <v>9.1999999999999993</v>
      </c>
      <c r="I173" s="598">
        <v>20.6</v>
      </c>
      <c r="J173" s="598">
        <v>9.9</v>
      </c>
      <c r="K173" s="596" t="s">
        <v>989</v>
      </c>
    </row>
    <row r="174" spans="2:11" ht="20.399999999999999">
      <c r="B174" s="596" t="s">
        <v>1056</v>
      </c>
      <c r="C174" s="597">
        <v>7.8040000000000003</v>
      </c>
      <c r="D174" s="598">
        <v>3.5259999999999998</v>
      </c>
      <c r="E174" s="597">
        <v>6</v>
      </c>
      <c r="F174" s="598">
        <v>4.3</v>
      </c>
      <c r="G174" s="597">
        <v>7.1</v>
      </c>
      <c r="H174" s="598">
        <v>0.6</v>
      </c>
      <c r="I174" s="598">
        <v>11.5</v>
      </c>
      <c r="J174" s="598">
        <v>1.9</v>
      </c>
      <c r="K174" s="596" t="s">
        <v>1056</v>
      </c>
    </row>
    <row r="175" spans="2:11" ht="20.399999999999999">
      <c r="B175" s="596" t="s">
        <v>1057</v>
      </c>
      <c r="C175" s="600" t="s">
        <v>59</v>
      </c>
      <c r="D175" s="601" t="s">
        <v>59</v>
      </c>
      <c r="E175" s="600" t="s">
        <v>59</v>
      </c>
      <c r="F175" s="601" t="s">
        <v>59</v>
      </c>
      <c r="G175" s="597">
        <v>6.5</v>
      </c>
      <c r="H175" s="598">
        <v>11.2</v>
      </c>
      <c r="I175" s="598">
        <v>9.6999999999999993</v>
      </c>
      <c r="J175" s="598">
        <v>12.4</v>
      </c>
      <c r="K175" s="596" t="s">
        <v>1057</v>
      </c>
    </row>
    <row r="176" spans="2:11">
      <c r="B176" s="596" t="s">
        <v>1058</v>
      </c>
      <c r="C176" s="597">
        <v>157</v>
      </c>
      <c r="D176" s="598">
        <v>70</v>
      </c>
      <c r="E176" s="597">
        <v>141</v>
      </c>
      <c r="F176" s="598">
        <v>67.3</v>
      </c>
      <c r="G176" s="597">
        <v>156.9</v>
      </c>
      <c r="H176" s="598">
        <v>30.6</v>
      </c>
      <c r="I176" s="598">
        <v>108.7</v>
      </c>
      <c r="J176" s="598">
        <v>17.3</v>
      </c>
      <c r="K176" s="596" t="s">
        <v>1059</v>
      </c>
    </row>
    <row r="177" spans="2:11" ht="33.75" customHeight="1">
      <c r="B177" s="602" t="s">
        <v>1060</v>
      </c>
      <c r="C177" s="603">
        <v>164.59</v>
      </c>
      <c r="D177" s="604">
        <v>158.41300000000001</v>
      </c>
      <c r="E177" s="603">
        <v>218</v>
      </c>
      <c r="F177" s="604">
        <v>194.9</v>
      </c>
      <c r="G177" s="603">
        <v>281.7</v>
      </c>
      <c r="H177" s="604">
        <v>60.2</v>
      </c>
      <c r="I177" s="604">
        <v>294.89999999999998</v>
      </c>
      <c r="J177" s="604">
        <v>56.8</v>
      </c>
      <c r="K177" s="602" t="s">
        <v>1061</v>
      </c>
    </row>
    <row r="178" spans="2:11" ht="20.399999999999999">
      <c r="B178" s="593" t="s">
        <v>995</v>
      </c>
      <c r="C178" s="594">
        <v>109</v>
      </c>
      <c r="D178" s="595">
        <v>165</v>
      </c>
      <c r="E178" s="594">
        <v>94</v>
      </c>
      <c r="F178" s="595">
        <v>128.4</v>
      </c>
      <c r="G178" s="594">
        <v>142.30000000000001</v>
      </c>
      <c r="H178" s="595">
        <v>185.4</v>
      </c>
      <c r="I178" s="595">
        <v>179.5</v>
      </c>
      <c r="J178" s="595">
        <v>85.9</v>
      </c>
      <c r="K178" s="593" t="s">
        <v>996</v>
      </c>
    </row>
    <row r="179" spans="2:11">
      <c r="B179" s="605" t="s">
        <v>115</v>
      </c>
      <c r="C179" s="606">
        <v>26</v>
      </c>
      <c r="D179" s="607">
        <v>5</v>
      </c>
      <c r="E179" s="606">
        <v>40</v>
      </c>
      <c r="F179" s="607">
        <v>7</v>
      </c>
      <c r="G179" s="606">
        <v>20.2</v>
      </c>
      <c r="H179" s="607">
        <v>8.5</v>
      </c>
      <c r="I179" s="607">
        <v>29.5</v>
      </c>
      <c r="J179" s="607">
        <v>7.8</v>
      </c>
      <c r="K179" s="605" t="s">
        <v>1062</v>
      </c>
    </row>
    <row r="180" spans="2:11" ht="22.5" customHeight="1">
      <c r="B180" s="596" t="s">
        <v>148</v>
      </c>
      <c r="C180" s="597">
        <v>20</v>
      </c>
      <c r="D180" s="598">
        <v>20</v>
      </c>
      <c r="E180" s="597">
        <v>16.600000000000001</v>
      </c>
      <c r="F180" s="598">
        <v>19.600000000000001</v>
      </c>
      <c r="G180" s="597">
        <v>20.2</v>
      </c>
      <c r="H180" s="598">
        <v>33.799999999999997</v>
      </c>
      <c r="I180" s="598">
        <v>25.9</v>
      </c>
      <c r="J180" s="598">
        <v>42.9</v>
      </c>
      <c r="K180" s="596" t="s">
        <v>1063</v>
      </c>
    </row>
    <row r="181" spans="2:11">
      <c r="B181" s="596" t="s">
        <v>288</v>
      </c>
      <c r="C181" s="597">
        <v>11</v>
      </c>
      <c r="D181" s="1008">
        <v>0</v>
      </c>
      <c r="E181" s="597">
        <v>18</v>
      </c>
      <c r="F181" s="598">
        <v>2</v>
      </c>
      <c r="G181" s="597">
        <v>21.2</v>
      </c>
      <c r="H181" s="598">
        <v>9.1</v>
      </c>
      <c r="I181" s="598">
        <v>23.7</v>
      </c>
      <c r="J181" s="598">
        <v>3.8</v>
      </c>
      <c r="K181" s="596" t="s">
        <v>1064</v>
      </c>
    </row>
    <row r="182" spans="2:11">
      <c r="B182" s="596" t="s">
        <v>202</v>
      </c>
      <c r="C182" s="597">
        <v>11</v>
      </c>
      <c r="D182" s="601" t="s">
        <v>59</v>
      </c>
      <c r="E182" s="597">
        <v>12.8</v>
      </c>
      <c r="F182" s="598">
        <v>7.5</v>
      </c>
      <c r="G182" s="597">
        <v>22.1</v>
      </c>
      <c r="H182" s="598">
        <v>2.8</v>
      </c>
      <c r="I182" s="598">
        <v>21.9</v>
      </c>
      <c r="J182" s="598">
        <v>3.4</v>
      </c>
      <c r="K182" s="596" t="s">
        <v>202</v>
      </c>
    </row>
    <row r="183" spans="2:11" ht="20.399999999999999">
      <c r="B183" s="596" t="s">
        <v>150</v>
      </c>
      <c r="C183" s="597">
        <v>4</v>
      </c>
      <c r="D183" s="598">
        <v>1</v>
      </c>
      <c r="E183" s="597">
        <v>5</v>
      </c>
      <c r="F183" s="598">
        <v>0.9</v>
      </c>
      <c r="G183" s="597">
        <v>6.2</v>
      </c>
      <c r="H183" s="598">
        <v>4.5999999999999996</v>
      </c>
      <c r="I183" s="598">
        <v>9.1</v>
      </c>
      <c r="J183" s="598">
        <v>2.6</v>
      </c>
      <c r="K183" s="596" t="s">
        <v>1065</v>
      </c>
    </row>
    <row r="184" spans="2:11">
      <c r="B184" s="596" t="s">
        <v>60</v>
      </c>
      <c r="C184" s="597">
        <v>2</v>
      </c>
      <c r="D184" s="1008">
        <v>0</v>
      </c>
      <c r="E184" s="597">
        <v>3.7</v>
      </c>
      <c r="F184" s="598">
        <v>0.6</v>
      </c>
      <c r="G184" s="597">
        <v>5.7</v>
      </c>
      <c r="H184" s="598">
        <v>1.3</v>
      </c>
      <c r="I184" s="598">
        <v>8.3000000000000007</v>
      </c>
      <c r="J184" s="598">
        <v>3.2</v>
      </c>
      <c r="K184" s="596" t="s">
        <v>1066</v>
      </c>
    </row>
    <row r="185" spans="2:11">
      <c r="B185" s="596" t="s">
        <v>1067</v>
      </c>
      <c r="C185" s="597">
        <v>6</v>
      </c>
      <c r="D185" s="598">
        <v>14</v>
      </c>
      <c r="E185" s="597">
        <v>5.3</v>
      </c>
      <c r="F185" s="598">
        <v>13.3</v>
      </c>
      <c r="G185" s="597">
        <v>4.7</v>
      </c>
      <c r="H185" s="598">
        <v>13.6</v>
      </c>
      <c r="I185" s="598">
        <v>6.7</v>
      </c>
      <c r="J185" s="598">
        <v>11.9</v>
      </c>
      <c r="K185" s="596" t="s">
        <v>1068</v>
      </c>
    </row>
    <row r="186" spans="2:11">
      <c r="B186" s="596" t="s">
        <v>152</v>
      </c>
      <c r="C186" s="597">
        <v>3</v>
      </c>
      <c r="D186" s="601" t="s">
        <v>59</v>
      </c>
      <c r="E186" s="597">
        <v>4.9000000000000004</v>
      </c>
      <c r="F186" s="601" t="s">
        <v>59</v>
      </c>
      <c r="G186" s="597">
        <v>3</v>
      </c>
      <c r="H186" s="601" t="s">
        <v>59</v>
      </c>
      <c r="I186" s="598">
        <v>5.0999999999999996</v>
      </c>
      <c r="J186" s="598"/>
      <c r="K186" s="596" t="s">
        <v>152</v>
      </c>
    </row>
    <row r="187" spans="2:11">
      <c r="B187" s="596" t="s">
        <v>120</v>
      </c>
      <c r="C187" s="597">
        <v>1</v>
      </c>
      <c r="D187" s="598">
        <v>116</v>
      </c>
      <c r="E187" s="597">
        <v>3</v>
      </c>
      <c r="F187" s="598">
        <v>76.400000000000006</v>
      </c>
      <c r="G187" s="597">
        <v>3.3</v>
      </c>
      <c r="H187" s="598">
        <v>102.1</v>
      </c>
      <c r="I187" s="598">
        <v>3.4</v>
      </c>
      <c r="J187" s="598">
        <v>7.2</v>
      </c>
      <c r="K187" s="596" t="s">
        <v>1069</v>
      </c>
    </row>
    <row r="188" spans="2:11" ht="22.5" customHeight="1">
      <c r="B188" s="602" t="s">
        <v>1070</v>
      </c>
      <c r="C188" s="603">
        <v>24</v>
      </c>
      <c r="D188" s="604">
        <v>4</v>
      </c>
      <c r="E188" s="603">
        <v>14</v>
      </c>
      <c r="F188" s="1009" t="s">
        <v>59</v>
      </c>
      <c r="G188" s="603">
        <v>18</v>
      </c>
      <c r="H188" s="604">
        <v>3.5</v>
      </c>
      <c r="I188" s="608">
        <v>27.6</v>
      </c>
      <c r="J188" s="604">
        <v>2.1</v>
      </c>
      <c r="K188" s="602" t="s">
        <v>1071</v>
      </c>
    </row>
    <row r="189" spans="2:11" ht="22.5" customHeight="1">
      <c r="B189" s="593" t="s">
        <v>1072</v>
      </c>
      <c r="C189" s="594">
        <v>17</v>
      </c>
      <c r="D189" s="595">
        <v>4</v>
      </c>
      <c r="E189" s="594">
        <v>11</v>
      </c>
      <c r="F189" s="595">
        <v>2</v>
      </c>
      <c r="G189" s="594">
        <v>17.7</v>
      </c>
      <c r="H189" s="595">
        <v>6.2</v>
      </c>
      <c r="I189" s="595">
        <v>18.5</v>
      </c>
      <c r="J189" s="595">
        <v>1</v>
      </c>
      <c r="K189" s="593" t="s">
        <v>1073</v>
      </c>
    </row>
    <row r="190" spans="2:11">
      <c r="B190" s="92" t="s">
        <v>1709</v>
      </c>
      <c r="C190" s="92"/>
      <c r="D190" s="92"/>
      <c r="E190" s="92"/>
      <c r="F190" s="92"/>
    </row>
    <row r="191" spans="2:11">
      <c r="B191" s="92" t="s">
        <v>1708</v>
      </c>
    </row>
    <row r="192" spans="2:11">
      <c r="B192" s="92" t="s">
        <v>1074</v>
      </c>
    </row>
    <row r="193" spans="2:7">
      <c r="B193" s="92" t="s">
        <v>1075</v>
      </c>
    </row>
    <row r="194" spans="2:7">
      <c r="B194" s="92" t="s">
        <v>1076</v>
      </c>
    </row>
    <row r="195" spans="2:7">
      <c r="B195" s="41" t="s">
        <v>1699</v>
      </c>
      <c r="C195" s="92"/>
      <c r="D195" s="92"/>
      <c r="E195" s="92"/>
      <c r="F195" s="92"/>
    </row>
    <row r="196" spans="2:7">
      <c r="B196" s="223"/>
    </row>
    <row r="200" spans="2:7" ht="15.6">
      <c r="B200" s="86" t="s">
        <v>1630</v>
      </c>
    </row>
    <row r="201" spans="2:7" ht="15.6">
      <c r="B201" s="86"/>
    </row>
    <row r="202" spans="2:7">
      <c r="B202" s="290" t="s">
        <v>596</v>
      </c>
    </row>
    <row r="203" spans="2:7">
      <c r="B203" s="81" t="s">
        <v>958</v>
      </c>
      <c r="C203" s="548"/>
      <c r="D203" s="548"/>
      <c r="E203" s="548"/>
    </row>
    <row r="204" spans="2:7">
      <c r="B204" s="290" t="s">
        <v>1710</v>
      </c>
      <c r="C204" s="548"/>
      <c r="D204" s="548"/>
      <c r="E204" s="548"/>
    </row>
    <row r="205" spans="2:7">
      <c r="B205" s="290"/>
      <c r="C205" s="548"/>
      <c r="D205" s="548"/>
      <c r="E205" s="548"/>
    </row>
    <row r="206" spans="2:7">
      <c r="B206" s="159" t="s">
        <v>959</v>
      </c>
      <c r="C206" s="159"/>
      <c r="D206" s="1555" t="s">
        <v>668</v>
      </c>
      <c r="E206" s="1555"/>
      <c r="G206" s="223"/>
    </row>
    <row r="207" spans="2:7">
      <c r="B207" s="159" t="s">
        <v>960</v>
      </c>
      <c r="C207" s="159"/>
      <c r="D207" s="162" t="s">
        <v>769</v>
      </c>
      <c r="E207" s="162" t="s">
        <v>961</v>
      </c>
    </row>
    <row r="208" spans="2:7">
      <c r="B208" s="159"/>
      <c r="C208" s="159"/>
      <c r="D208" s="162"/>
      <c r="E208" s="162"/>
    </row>
    <row r="209" spans="2:5">
      <c r="B209" s="3" t="s">
        <v>52</v>
      </c>
      <c r="C209" s="3"/>
      <c r="D209" s="507">
        <v>2999</v>
      </c>
      <c r="E209" s="507">
        <v>100</v>
      </c>
    </row>
    <row r="210" spans="2:5">
      <c r="B210" s="549" t="s">
        <v>943</v>
      </c>
      <c r="C210" s="549"/>
      <c r="D210" s="550">
        <v>211.1</v>
      </c>
      <c r="E210" s="551">
        <f>D210/$D$209*100</f>
        <v>7.0390130043347776</v>
      </c>
    </row>
    <row r="211" spans="2:5">
      <c r="B211" s="549" t="s">
        <v>944</v>
      </c>
      <c r="C211" s="549"/>
      <c r="D211" s="550">
        <v>244.3</v>
      </c>
      <c r="E211" s="551">
        <f t="shared" ref="E211:E224" si="1">D211/$D$209*100</f>
        <v>8.146048682894298</v>
      </c>
    </row>
    <row r="212" spans="2:5">
      <c r="B212" s="549" t="s">
        <v>945</v>
      </c>
      <c r="C212" s="549"/>
      <c r="D212" s="550">
        <v>6</v>
      </c>
      <c r="E212" s="551" t="s">
        <v>726</v>
      </c>
    </row>
    <row r="213" spans="2:5">
      <c r="B213" s="549" t="s">
        <v>946</v>
      </c>
      <c r="C213" s="549"/>
      <c r="D213" s="550">
        <v>29.1</v>
      </c>
      <c r="E213" s="551">
        <f t="shared" si="1"/>
        <v>0.97032344114704916</v>
      </c>
    </row>
    <row r="214" spans="2:5">
      <c r="B214" s="549" t="s">
        <v>947</v>
      </c>
      <c r="C214" s="549"/>
      <c r="D214" s="550">
        <v>64.2</v>
      </c>
      <c r="E214" s="551">
        <f t="shared" si="1"/>
        <v>2.1407135711903971</v>
      </c>
    </row>
    <row r="215" spans="2:5">
      <c r="B215" s="549" t="s">
        <v>948</v>
      </c>
      <c r="C215" s="549"/>
      <c r="D215" s="550">
        <v>76.3</v>
      </c>
      <c r="E215" s="551">
        <f t="shared" si="1"/>
        <v>2.5441813937979325</v>
      </c>
    </row>
    <row r="216" spans="2:5">
      <c r="B216" s="549" t="s">
        <v>949</v>
      </c>
      <c r="C216" s="549"/>
      <c r="D216" s="551">
        <v>6.5</v>
      </c>
      <c r="E216" s="551" t="s">
        <v>726</v>
      </c>
    </row>
    <row r="217" spans="2:5">
      <c r="B217" s="549" t="s">
        <v>950</v>
      </c>
      <c r="C217" s="549"/>
      <c r="D217" s="550">
        <v>520.79999999999995</v>
      </c>
      <c r="E217" s="551">
        <f t="shared" si="1"/>
        <v>17.36578859619873</v>
      </c>
    </row>
    <row r="218" spans="2:5">
      <c r="B218" s="549" t="s">
        <v>951</v>
      </c>
      <c r="C218" s="549"/>
      <c r="D218" s="551">
        <v>1570.7</v>
      </c>
      <c r="E218" s="551">
        <f t="shared" si="1"/>
        <v>52.374124708236081</v>
      </c>
    </row>
    <row r="219" spans="2:5">
      <c r="B219" s="549" t="s">
        <v>952</v>
      </c>
      <c r="C219" s="549"/>
      <c r="D219" s="550">
        <v>39</v>
      </c>
      <c r="E219" s="551">
        <f t="shared" si="1"/>
        <v>1.3004334778259419</v>
      </c>
    </row>
    <row r="220" spans="2:5">
      <c r="B220" s="549" t="s">
        <v>953</v>
      </c>
      <c r="C220" s="549"/>
      <c r="D220" s="550">
        <v>3.7</v>
      </c>
      <c r="E220" s="551" t="s">
        <v>726</v>
      </c>
    </row>
    <row r="221" spans="2:5">
      <c r="B221" s="549" t="s">
        <v>954</v>
      </c>
      <c r="C221" s="549"/>
      <c r="D221" s="550">
        <v>93.2</v>
      </c>
      <c r="E221" s="551">
        <f t="shared" si="1"/>
        <v>3.1077025675225074</v>
      </c>
    </row>
    <row r="222" spans="2:5">
      <c r="B222" s="549" t="s">
        <v>955</v>
      </c>
      <c r="C222" s="549"/>
      <c r="D222" s="550">
        <v>30.2</v>
      </c>
      <c r="E222" s="551">
        <f t="shared" si="1"/>
        <v>1.0070023341113705</v>
      </c>
    </row>
    <row r="223" spans="2:5">
      <c r="B223" s="549" t="s">
        <v>956</v>
      </c>
      <c r="C223" s="549"/>
      <c r="D223" s="550">
        <v>82.4</v>
      </c>
      <c r="E223" s="551">
        <f t="shared" si="1"/>
        <v>2.7475825275091696</v>
      </c>
    </row>
    <row r="224" spans="2:5">
      <c r="B224" s="549" t="s">
        <v>957</v>
      </c>
      <c r="C224" s="549"/>
      <c r="D224" s="551">
        <v>21</v>
      </c>
      <c r="E224" s="551">
        <f t="shared" si="1"/>
        <v>0.70023341113704574</v>
      </c>
    </row>
    <row r="225" spans="2:7">
      <c r="D225" s="23"/>
    </row>
    <row r="226" spans="2:7">
      <c r="B226" s="290" t="s">
        <v>596</v>
      </c>
    </row>
    <row r="227" spans="2:7">
      <c r="B227" s="81" t="s">
        <v>667</v>
      </c>
    </row>
    <row r="228" spans="2:7">
      <c r="B228" s="290" t="s">
        <v>1713</v>
      </c>
    </row>
    <row r="229" spans="2:7">
      <c r="B229" s="290"/>
    </row>
    <row r="230" spans="2:7">
      <c r="B230" s="159" t="s">
        <v>767</v>
      </c>
      <c r="C230" s="159"/>
      <c r="D230" s="1555" t="s">
        <v>668</v>
      </c>
      <c r="E230" s="1555"/>
    </row>
    <row r="231" spans="2:7">
      <c r="B231" s="159" t="s">
        <v>768</v>
      </c>
      <c r="C231" s="159"/>
      <c r="D231" s="162" t="s">
        <v>769</v>
      </c>
      <c r="E231" s="162" t="s">
        <v>670</v>
      </c>
      <c r="G231" s="223"/>
    </row>
    <row r="232" spans="2:7">
      <c r="B232" s="159"/>
      <c r="C232" s="159"/>
      <c r="D232" s="162"/>
      <c r="E232" s="162"/>
    </row>
    <row r="233" spans="2:7">
      <c r="B233" s="159" t="s">
        <v>52</v>
      </c>
      <c r="C233" s="159"/>
      <c r="D233" s="507">
        <v>17159.900000000001</v>
      </c>
      <c r="E233" s="507">
        <v>100</v>
      </c>
    </row>
    <row r="234" spans="2:7">
      <c r="B234" s="549" t="s">
        <v>943</v>
      </c>
      <c r="C234" s="549"/>
      <c r="D234" s="551">
        <v>1403.3</v>
      </c>
      <c r="E234" s="551">
        <f>D234/$D$233*100</f>
        <v>8.1777865838379</v>
      </c>
    </row>
    <row r="235" spans="2:7">
      <c r="B235" s="549" t="s">
        <v>944</v>
      </c>
      <c r="C235" s="549"/>
      <c r="D235" s="551">
        <v>1455.4</v>
      </c>
      <c r="E235" s="551">
        <f t="shared" ref="E235:E247" si="2">D235/$D$233*100</f>
        <v>8.4814014067681054</v>
      </c>
    </row>
    <row r="236" spans="2:7">
      <c r="B236" s="549" t="s">
        <v>962</v>
      </c>
      <c r="C236" s="549"/>
      <c r="D236" s="551">
        <v>455.3</v>
      </c>
      <c r="E236" s="551">
        <f t="shared" si="2"/>
        <v>2.6532788652614525</v>
      </c>
    </row>
    <row r="237" spans="2:7">
      <c r="B237" s="549" t="s">
        <v>946</v>
      </c>
      <c r="C237" s="549"/>
      <c r="D237" s="551">
        <v>1073.2</v>
      </c>
      <c r="E237" s="551">
        <f t="shared" si="2"/>
        <v>6.2541156999749408</v>
      </c>
    </row>
    <row r="238" spans="2:7">
      <c r="B238" s="549" t="s">
        <v>948</v>
      </c>
      <c r="C238" s="549"/>
      <c r="D238" s="551">
        <v>296.2</v>
      </c>
      <c r="E238" s="551">
        <f t="shared" si="2"/>
        <v>1.7261172850657636</v>
      </c>
    </row>
    <row r="239" spans="2:7">
      <c r="B239" s="549" t="s">
        <v>949</v>
      </c>
      <c r="C239" s="1010"/>
      <c r="D239" s="551" t="s">
        <v>59</v>
      </c>
      <c r="E239" s="551" t="s">
        <v>59</v>
      </c>
    </row>
    <row r="240" spans="2:7">
      <c r="B240" s="549" t="s">
        <v>950</v>
      </c>
      <c r="C240" s="549"/>
      <c r="D240" s="551">
        <v>4794.2</v>
      </c>
      <c r="E240" s="551">
        <f t="shared" si="2"/>
        <v>27.938391249366251</v>
      </c>
    </row>
    <row r="241" spans="2:5">
      <c r="B241" s="549" t="s">
        <v>951</v>
      </c>
      <c r="C241" s="549"/>
      <c r="D241" s="551">
        <v>3265.8</v>
      </c>
      <c r="E241" s="551">
        <f t="shared" si="2"/>
        <v>19.031579438108611</v>
      </c>
    </row>
    <row r="242" spans="2:5">
      <c r="B242" s="549" t="s">
        <v>952</v>
      </c>
      <c r="C242" s="549"/>
      <c r="D242" s="551">
        <v>460.9</v>
      </c>
      <c r="E242" s="551">
        <f t="shared" si="2"/>
        <v>2.6859130880716084</v>
      </c>
    </row>
    <row r="243" spans="2:5">
      <c r="B243" s="549" t="s">
        <v>953</v>
      </c>
      <c r="C243" s="549"/>
      <c r="D243" s="551">
        <v>47.9</v>
      </c>
      <c r="E243" s="551" t="s">
        <v>726</v>
      </c>
    </row>
    <row r="244" spans="2:5">
      <c r="B244" s="549" t="s">
        <v>954</v>
      </c>
      <c r="C244" s="549"/>
      <c r="D244" s="551">
        <v>384.5</v>
      </c>
      <c r="E244" s="551">
        <f t="shared" si="2"/>
        <v>2.240689048304477</v>
      </c>
    </row>
    <row r="245" spans="2:5">
      <c r="B245" s="549" t="s">
        <v>955</v>
      </c>
      <c r="C245" s="549"/>
      <c r="D245" s="551" t="s">
        <v>59</v>
      </c>
      <c r="E245" s="551" t="s">
        <v>59</v>
      </c>
    </row>
    <row r="246" spans="2:5">
      <c r="B246" s="549" t="s">
        <v>956</v>
      </c>
      <c r="C246" s="549"/>
      <c r="D246" s="551">
        <v>3005.7</v>
      </c>
      <c r="E246" s="551">
        <f t="shared" si="2"/>
        <v>17.515836339372605</v>
      </c>
    </row>
    <row r="247" spans="2:5">
      <c r="B247" s="549" t="s">
        <v>957</v>
      </c>
      <c r="C247" s="549"/>
      <c r="D247" s="551">
        <v>135.5</v>
      </c>
      <c r="E247" s="551">
        <f t="shared" si="2"/>
        <v>0.78963164121003027</v>
      </c>
    </row>
    <row r="248" spans="2:5">
      <c r="D248" s="23"/>
      <c r="E248" s="552"/>
    </row>
    <row r="249" spans="2:5">
      <c r="B249" s="290" t="s">
        <v>596</v>
      </c>
      <c r="E249" s="552"/>
    </row>
    <row r="250" spans="2:5">
      <c r="B250" s="81" t="s">
        <v>963</v>
      </c>
      <c r="E250" s="552"/>
    </row>
    <row r="251" spans="2:5">
      <c r="B251" s="290" t="s">
        <v>1712</v>
      </c>
      <c r="E251" s="552"/>
    </row>
    <row r="252" spans="2:5">
      <c r="B252" s="290"/>
      <c r="E252" s="552"/>
    </row>
    <row r="253" spans="2:5">
      <c r="B253" s="159" t="s">
        <v>53</v>
      </c>
      <c r="C253" s="159"/>
      <c r="D253" s="1555" t="s">
        <v>668</v>
      </c>
      <c r="E253" s="1555"/>
    </row>
    <row r="254" spans="2:5">
      <c r="B254" s="159"/>
      <c r="C254" s="159"/>
      <c r="D254" s="162" t="s">
        <v>669</v>
      </c>
      <c r="E254" s="162" t="s">
        <v>670</v>
      </c>
    </row>
    <row r="255" spans="2:5">
      <c r="B255" s="159"/>
      <c r="C255" s="159"/>
      <c r="D255" s="162"/>
      <c r="E255" s="162"/>
    </row>
    <row r="256" spans="2:5">
      <c r="B256" s="159" t="s">
        <v>52</v>
      </c>
      <c r="C256" s="159"/>
      <c r="D256" s="507">
        <v>2815</v>
      </c>
      <c r="E256" s="507">
        <v>100</v>
      </c>
    </row>
    <row r="257" spans="2:5">
      <c r="B257" s="549" t="s">
        <v>943</v>
      </c>
      <c r="C257" s="549"/>
      <c r="D257" s="550">
        <v>382.4</v>
      </c>
      <c r="E257" s="551">
        <v>13.584369449378331</v>
      </c>
    </row>
    <row r="258" spans="2:5">
      <c r="B258" s="549" t="s">
        <v>944</v>
      </c>
      <c r="C258" s="549"/>
      <c r="D258" s="550">
        <v>377.6</v>
      </c>
      <c r="E258" s="551">
        <v>13.413854351687391</v>
      </c>
    </row>
    <row r="259" spans="2:5">
      <c r="B259" s="549" t="s">
        <v>945</v>
      </c>
      <c r="C259" s="549"/>
      <c r="D259" s="551" t="s">
        <v>59</v>
      </c>
      <c r="E259" s="551" t="s">
        <v>59</v>
      </c>
    </row>
    <row r="260" spans="2:5">
      <c r="B260" s="549" t="s">
        <v>946</v>
      </c>
      <c r="C260" s="549"/>
      <c r="D260" s="550">
        <v>21.3</v>
      </c>
      <c r="E260" s="551">
        <v>0.75666074600355238</v>
      </c>
    </row>
    <row r="261" spans="2:5">
      <c r="B261" s="549" t="s">
        <v>947</v>
      </c>
      <c r="C261" s="549"/>
      <c r="D261" s="550">
        <v>108</v>
      </c>
      <c r="E261" s="551">
        <v>3.8365896980461813</v>
      </c>
    </row>
    <row r="262" spans="2:5">
      <c r="B262" s="549" t="s">
        <v>948</v>
      </c>
      <c r="C262" s="549"/>
      <c r="D262" s="550">
        <v>99.6</v>
      </c>
      <c r="E262" s="551">
        <v>3.5381882770870337</v>
      </c>
    </row>
    <row r="263" spans="2:5">
      <c r="B263" s="549" t="s">
        <v>949</v>
      </c>
      <c r="C263" s="549"/>
      <c r="D263" s="550">
        <v>19</v>
      </c>
      <c r="E263" s="551">
        <v>0.67495559502664293</v>
      </c>
    </row>
    <row r="264" spans="2:5">
      <c r="B264" s="549" t="s">
        <v>950</v>
      </c>
      <c r="C264" s="549"/>
      <c r="D264" s="550">
        <v>185</v>
      </c>
      <c r="E264" s="551">
        <v>6.571936056838366</v>
      </c>
    </row>
    <row r="265" spans="2:5">
      <c r="B265" s="549" t="s">
        <v>951</v>
      </c>
      <c r="C265" s="549"/>
      <c r="D265" s="551">
        <v>1248.2</v>
      </c>
      <c r="E265" s="551">
        <v>44.341030195381883</v>
      </c>
    </row>
    <row r="266" spans="2:5">
      <c r="B266" s="549" t="s">
        <v>952</v>
      </c>
      <c r="C266" s="549"/>
      <c r="D266" s="550">
        <v>166</v>
      </c>
      <c r="E266" s="551">
        <v>5.8969804618117232</v>
      </c>
    </row>
    <row r="267" spans="2:5">
      <c r="B267" s="549" t="s">
        <v>953</v>
      </c>
      <c r="C267" s="549"/>
      <c r="D267" s="551" t="s">
        <v>59</v>
      </c>
      <c r="E267" s="551" t="s">
        <v>59</v>
      </c>
    </row>
    <row r="268" spans="2:5">
      <c r="B268" s="549" t="s">
        <v>954</v>
      </c>
      <c r="C268" s="549"/>
      <c r="D268" s="550">
        <v>60.8</v>
      </c>
      <c r="E268" s="551">
        <v>2.1598579040852575</v>
      </c>
    </row>
    <row r="269" spans="2:5">
      <c r="B269" s="549" t="s">
        <v>955</v>
      </c>
      <c r="C269" s="549"/>
      <c r="D269" s="550">
        <v>6.9</v>
      </c>
      <c r="E269" s="551">
        <v>0.24511545293072826</v>
      </c>
    </row>
    <row r="270" spans="2:5">
      <c r="B270" s="549" t="s">
        <v>956</v>
      </c>
      <c r="C270" s="549"/>
      <c r="D270" s="550">
        <v>80</v>
      </c>
      <c r="E270" s="551">
        <v>2.8419182948490231</v>
      </c>
    </row>
    <row r="271" spans="2:5">
      <c r="B271" s="549" t="s">
        <v>957</v>
      </c>
      <c r="C271" s="549"/>
      <c r="D271" s="550">
        <v>57.9</v>
      </c>
      <c r="E271" s="551">
        <v>2.0568383658969807</v>
      </c>
    </row>
    <row r="272" spans="2:5">
      <c r="B272" s="114"/>
      <c r="D272" s="23"/>
    </row>
    <row r="273" spans="2:7">
      <c r="B273" s="553" t="s">
        <v>1711</v>
      </c>
    </row>
    <row r="277" spans="2:7" ht="17.399999999999999">
      <c r="B277" s="286" t="s">
        <v>1077</v>
      </c>
    </row>
    <row r="279" spans="2:7">
      <c r="B279" s="413" t="s">
        <v>2148</v>
      </c>
      <c r="C279" s="414"/>
      <c r="D279" s="414"/>
      <c r="E279" s="414"/>
      <c r="F279" s="414"/>
      <c r="G279" s="415"/>
    </row>
    <row r="280" spans="2:7" ht="79.8">
      <c r="B280" s="416" t="s">
        <v>780</v>
      </c>
      <c r="C280" s="416"/>
      <c r="D280" s="609">
        <v>663911.35199999937</v>
      </c>
      <c r="E280" s="418" t="s">
        <v>781</v>
      </c>
      <c r="F280" s="610">
        <v>638437.51299999992</v>
      </c>
      <c r="G280" s="418" t="s">
        <v>2173</v>
      </c>
    </row>
    <row r="281" spans="2:7" ht="22.8">
      <c r="B281" s="419"/>
      <c r="C281" s="419"/>
      <c r="D281" s="611"/>
      <c r="E281" s="418" t="s">
        <v>782</v>
      </c>
      <c r="F281" s="610">
        <v>15109.371999999999</v>
      </c>
      <c r="G281" s="418" t="s">
        <v>2174</v>
      </c>
    </row>
    <row r="282" spans="2:7" ht="68.400000000000006">
      <c r="B282" s="508" t="s">
        <v>1633</v>
      </c>
      <c r="C282" s="508"/>
      <c r="D282" s="609">
        <v>46524.52600000002</v>
      </c>
      <c r="E282" s="418" t="s">
        <v>1634</v>
      </c>
      <c r="F282" s="610">
        <v>43538.840000000011</v>
      </c>
      <c r="G282" s="418" t="s">
        <v>2175</v>
      </c>
    </row>
    <row r="283" spans="2:7" ht="22.8">
      <c r="B283" s="422"/>
      <c r="C283" s="422"/>
      <c r="D283" s="610"/>
      <c r="E283" s="418" t="s">
        <v>1635</v>
      </c>
      <c r="F283" s="610">
        <v>2985.6859999999988</v>
      </c>
      <c r="G283" s="418" t="s">
        <v>2176</v>
      </c>
    </row>
    <row r="284" spans="2:7" ht="72" customHeight="1">
      <c r="B284" s="612" t="s">
        <v>786</v>
      </c>
      <c r="C284" s="508"/>
      <c r="D284" s="609">
        <v>46431.202000000034</v>
      </c>
      <c r="E284" s="418" t="s">
        <v>787</v>
      </c>
      <c r="F284" s="610">
        <v>38805.545000000027</v>
      </c>
      <c r="G284" s="418" t="s">
        <v>2177</v>
      </c>
    </row>
    <row r="285" spans="2:7" ht="57">
      <c r="B285" s="422"/>
      <c r="C285" s="422"/>
      <c r="D285" s="610"/>
      <c r="E285" s="418" t="s">
        <v>788</v>
      </c>
      <c r="F285" s="610">
        <v>7625.6570000000011</v>
      </c>
      <c r="G285" s="418" t="s">
        <v>2178</v>
      </c>
    </row>
    <row r="286" spans="2:7" ht="68.400000000000006">
      <c r="B286" s="508" t="s">
        <v>783</v>
      </c>
      <c r="C286" s="508"/>
      <c r="D286" s="609">
        <v>36792.471999999987</v>
      </c>
      <c r="E286" s="418" t="s">
        <v>784</v>
      </c>
      <c r="F286" s="610">
        <v>30253.957999999999</v>
      </c>
      <c r="G286" s="418" t="s">
        <v>2179</v>
      </c>
    </row>
    <row r="287" spans="2:7" ht="57">
      <c r="B287" s="416"/>
      <c r="C287" s="416"/>
      <c r="D287" s="609"/>
      <c r="E287" s="423" t="s">
        <v>785</v>
      </c>
      <c r="F287" s="609">
        <v>6538.5139999999983</v>
      </c>
      <c r="G287" s="424" t="s">
        <v>2180</v>
      </c>
    </row>
    <row r="288" spans="2:7">
      <c r="B288" s="425" t="s">
        <v>3</v>
      </c>
      <c r="C288" s="426"/>
      <c r="D288" s="613">
        <v>793659.55199999944</v>
      </c>
      <c r="E288" s="428"/>
      <c r="F288" s="443"/>
      <c r="G288" s="428"/>
    </row>
    <row r="289" spans="2:7" ht="15.6">
      <c r="B289" s="429"/>
      <c r="C289" s="429"/>
      <c r="D289" s="430"/>
      <c r="E289" s="431"/>
      <c r="F289" s="432"/>
      <c r="G289" s="433"/>
    </row>
    <row r="290" spans="2:7">
      <c r="B290" s="413" t="s">
        <v>2149</v>
      </c>
      <c r="C290" s="414"/>
      <c r="D290" s="434"/>
      <c r="E290" s="414"/>
      <c r="F290" s="434"/>
      <c r="G290" s="435"/>
    </row>
    <row r="291" spans="2:7" ht="79.8">
      <c r="B291" s="416" t="s">
        <v>780</v>
      </c>
      <c r="C291" s="416"/>
      <c r="D291" s="436">
        <v>1248746.6260000009</v>
      </c>
      <c r="E291" s="418" t="s">
        <v>781</v>
      </c>
      <c r="F291" s="437">
        <v>1181269.409</v>
      </c>
      <c r="G291" s="418" t="s">
        <v>2181</v>
      </c>
    </row>
    <row r="292" spans="2:7" ht="22.8">
      <c r="B292" s="419"/>
      <c r="C292" s="419"/>
      <c r="D292" s="438"/>
      <c r="E292" s="418" t="s">
        <v>782</v>
      </c>
      <c r="F292" s="437">
        <v>44752.602000000014</v>
      </c>
      <c r="G292" s="418" t="s">
        <v>2182</v>
      </c>
    </row>
    <row r="293" spans="2:7" ht="84" customHeight="1">
      <c r="B293" s="508" t="s">
        <v>1633</v>
      </c>
      <c r="C293" s="508"/>
      <c r="D293" s="439">
        <v>1178841.0639999988</v>
      </c>
      <c r="E293" s="418" t="s">
        <v>1634</v>
      </c>
      <c r="F293" s="440">
        <v>1144010.152</v>
      </c>
      <c r="G293" s="418" t="s">
        <v>2183</v>
      </c>
    </row>
    <row r="294" spans="2:7" ht="22.8">
      <c r="B294" s="422"/>
      <c r="C294" s="422"/>
      <c r="D294" s="440"/>
      <c r="E294" s="418" t="s">
        <v>1635</v>
      </c>
      <c r="F294" s="440">
        <v>34830.912000000004</v>
      </c>
      <c r="G294" s="418" t="s">
        <v>2184</v>
      </c>
    </row>
    <row r="295" spans="2:7" ht="57">
      <c r="B295" s="508" t="s">
        <v>786</v>
      </c>
      <c r="C295" s="508"/>
      <c r="D295" s="439">
        <v>164581.42500000002</v>
      </c>
      <c r="E295" s="418" t="s">
        <v>787</v>
      </c>
      <c r="F295" s="440">
        <v>120318.88499999999</v>
      </c>
      <c r="G295" s="418" t="s">
        <v>2185</v>
      </c>
    </row>
    <row r="296" spans="2:7" ht="57">
      <c r="B296" s="422"/>
      <c r="C296" s="422"/>
      <c r="D296" s="440"/>
      <c r="E296" s="418" t="s">
        <v>788</v>
      </c>
      <c r="F296" s="440">
        <v>44262.539999999994</v>
      </c>
      <c r="G296" s="418" t="s">
        <v>2186</v>
      </c>
    </row>
    <row r="297" spans="2:7" ht="68.400000000000006">
      <c r="B297" s="508" t="s">
        <v>783</v>
      </c>
      <c r="C297" s="508"/>
      <c r="D297" s="439">
        <v>124100.88499999997</v>
      </c>
      <c r="E297" s="418" t="s">
        <v>784</v>
      </c>
      <c r="F297" s="440">
        <v>95436.204999999973</v>
      </c>
      <c r="G297" s="418" t="s">
        <v>2187</v>
      </c>
    </row>
    <row r="298" spans="2:7" ht="60" customHeight="1">
      <c r="B298" s="416"/>
      <c r="C298" s="416"/>
      <c r="D298" s="439"/>
      <c r="E298" s="423" t="s">
        <v>785</v>
      </c>
      <c r="F298" s="439">
        <v>28664.680000000008</v>
      </c>
      <c r="G298" s="423" t="s">
        <v>2188</v>
      </c>
    </row>
    <row r="299" spans="2:7">
      <c r="B299" s="425" t="s">
        <v>3</v>
      </c>
      <c r="C299" s="426"/>
      <c r="D299" s="509">
        <v>2716269.9999999991</v>
      </c>
      <c r="E299" s="428"/>
      <c r="F299" s="443"/>
      <c r="G299" s="428"/>
    </row>
    <row r="301" spans="2:7">
      <c r="B301" s="442" t="s">
        <v>2150</v>
      </c>
      <c r="C301" s="444"/>
      <c r="D301" s="415"/>
      <c r="E301" s="415"/>
      <c r="F301" s="415"/>
      <c r="G301" s="415"/>
    </row>
    <row r="302" spans="2:7">
      <c r="B302" s="445" t="s">
        <v>13</v>
      </c>
      <c r="C302" s="510">
        <v>2300846.9180000005</v>
      </c>
      <c r="D302" s="448" t="s">
        <v>2153</v>
      </c>
      <c r="E302" s="448"/>
      <c r="F302" s="448"/>
      <c r="G302" s="448"/>
    </row>
    <row r="303" spans="2:7">
      <c r="B303" s="445" t="s">
        <v>12</v>
      </c>
      <c r="C303" s="510">
        <v>111612.55200000001</v>
      </c>
      <c r="D303" s="448" t="s">
        <v>2154</v>
      </c>
      <c r="E303" s="448"/>
      <c r="F303" s="448"/>
      <c r="G303" s="448"/>
    </row>
    <row r="304" spans="2:7">
      <c r="B304" s="445" t="s">
        <v>7</v>
      </c>
      <c r="C304" s="510">
        <v>93296.479000000007</v>
      </c>
      <c r="D304" s="448" t="s">
        <v>2155</v>
      </c>
      <c r="E304" s="448"/>
      <c r="F304" s="448"/>
      <c r="G304" s="448"/>
    </row>
    <row r="305" spans="2:7">
      <c r="B305" s="445" t="s">
        <v>17</v>
      </c>
      <c r="C305" s="510">
        <v>33304.627999999997</v>
      </c>
      <c r="D305" s="448" t="s">
        <v>2156</v>
      </c>
      <c r="E305" s="448"/>
      <c r="F305" s="448"/>
      <c r="G305" s="448"/>
    </row>
    <row r="306" spans="2:7">
      <c r="B306" s="445" t="s">
        <v>24</v>
      </c>
      <c r="C306" s="510">
        <v>32595.801000000003</v>
      </c>
      <c r="D306" s="448" t="s">
        <v>2157</v>
      </c>
      <c r="E306" s="448"/>
      <c r="F306" s="448"/>
      <c r="G306" s="448"/>
    </row>
    <row r="307" spans="2:7">
      <c r="B307" s="445" t="s">
        <v>6</v>
      </c>
      <c r="C307" s="510">
        <v>31460.107000000004</v>
      </c>
      <c r="D307" s="448" t="s">
        <v>2158</v>
      </c>
      <c r="E307" s="448"/>
      <c r="F307" s="448"/>
      <c r="G307" s="448"/>
    </row>
    <row r="308" spans="2:7">
      <c r="B308" s="445" t="s">
        <v>15</v>
      </c>
      <c r="C308" s="510">
        <v>21429.949000000001</v>
      </c>
      <c r="D308" s="448" t="s">
        <v>2159</v>
      </c>
      <c r="E308" s="448"/>
      <c r="F308" s="448"/>
      <c r="G308" s="448"/>
    </row>
    <row r="309" spans="2:7">
      <c r="B309" s="445" t="s">
        <v>27</v>
      </c>
      <c r="C309" s="510">
        <v>13791.994000000001</v>
      </c>
      <c r="D309" s="448" t="s">
        <v>2160</v>
      </c>
      <c r="E309" s="448"/>
      <c r="F309" s="448"/>
      <c r="G309" s="448"/>
    </row>
    <row r="310" spans="2:7">
      <c r="B310" s="445" t="s">
        <v>22</v>
      </c>
      <c r="C310" s="510">
        <v>8238.7090000000007</v>
      </c>
      <c r="D310" s="448" t="s">
        <v>2161</v>
      </c>
      <c r="E310" s="448"/>
      <c r="F310" s="448"/>
      <c r="G310" s="448"/>
    </row>
    <row r="311" spans="2:7">
      <c r="B311" s="449" t="s">
        <v>2151</v>
      </c>
      <c r="C311" s="510">
        <v>8159.02</v>
      </c>
      <c r="D311" s="451" t="s">
        <v>2162</v>
      </c>
      <c r="E311" s="451"/>
      <c r="F311" s="451"/>
      <c r="G311" s="451"/>
    </row>
    <row r="312" spans="2:7">
      <c r="B312" s="290" t="s">
        <v>1623</v>
      </c>
      <c r="C312" s="490">
        <v>61533.843000002205</v>
      </c>
      <c r="D312" s="454"/>
      <c r="E312" s="454"/>
      <c r="F312" s="454"/>
      <c r="G312" s="454"/>
    </row>
    <row r="313" spans="2:7">
      <c r="B313" s="425" t="s">
        <v>3</v>
      </c>
      <c r="C313" s="441">
        <v>2716270.0000000023</v>
      </c>
      <c r="D313" s="442" t="s">
        <v>1079</v>
      </c>
      <c r="E313" s="442"/>
      <c r="F313" s="428"/>
      <c r="G313" s="428"/>
    </row>
    <row r="314" spans="2:7">
      <c r="C314" s="456"/>
    </row>
    <row r="315" spans="2:7">
      <c r="B315" s="442" t="s">
        <v>2152</v>
      </c>
      <c r="C315" s="457"/>
      <c r="D315" s="415"/>
      <c r="E315" s="415"/>
      <c r="F315" s="415"/>
      <c r="G315" s="415"/>
    </row>
    <row r="316" spans="2:7">
      <c r="B316" s="445" t="s">
        <v>13</v>
      </c>
      <c r="C316" s="510">
        <v>247004.04499999998</v>
      </c>
      <c r="D316" s="448" t="s">
        <v>2163</v>
      </c>
      <c r="E316" s="448"/>
      <c r="F316" s="448"/>
      <c r="G316" s="448"/>
    </row>
    <row r="317" spans="2:7">
      <c r="B317" s="449" t="s">
        <v>5</v>
      </c>
      <c r="C317" s="510">
        <v>110287.04399999998</v>
      </c>
      <c r="D317" s="451" t="s">
        <v>2164</v>
      </c>
      <c r="E317" s="451"/>
      <c r="F317" s="451"/>
      <c r="G317" s="451"/>
    </row>
    <row r="318" spans="2:7">
      <c r="B318" s="449" t="s">
        <v>19</v>
      </c>
      <c r="C318" s="510">
        <v>75357.539999999994</v>
      </c>
      <c r="D318" s="451" t="s">
        <v>2165</v>
      </c>
      <c r="E318" s="451"/>
      <c r="F318" s="451"/>
      <c r="G318" s="451"/>
    </row>
    <row r="319" spans="2:7">
      <c r="B319" s="449" t="s">
        <v>9</v>
      </c>
      <c r="C319" s="510">
        <v>50531.117000000027</v>
      </c>
      <c r="D319" s="451" t="s">
        <v>2166</v>
      </c>
      <c r="E319" s="451"/>
      <c r="F319" s="451"/>
      <c r="G319" s="451"/>
    </row>
    <row r="320" spans="2:7">
      <c r="B320" s="449" t="s">
        <v>15</v>
      </c>
      <c r="C320" s="510">
        <v>43286.048999999999</v>
      </c>
      <c r="D320" s="451" t="s">
        <v>2167</v>
      </c>
      <c r="E320" s="451"/>
      <c r="F320" s="451"/>
      <c r="G320" s="451"/>
    </row>
    <row r="321" spans="2:34">
      <c r="B321" s="449" t="s">
        <v>1078</v>
      </c>
      <c r="C321" s="510">
        <v>37147.712</v>
      </c>
      <c r="D321" s="451" t="s">
        <v>2168</v>
      </c>
      <c r="E321" s="451"/>
      <c r="F321" s="451"/>
      <c r="G321" s="451"/>
    </row>
    <row r="322" spans="2:34">
      <c r="B322" s="449" t="s">
        <v>6</v>
      </c>
      <c r="C322" s="510">
        <v>32045.605999999992</v>
      </c>
      <c r="D322" s="451" t="s">
        <v>2169</v>
      </c>
      <c r="E322" s="451"/>
      <c r="F322" s="451"/>
      <c r="G322" s="451"/>
    </row>
    <row r="323" spans="2:34">
      <c r="B323" s="449" t="s">
        <v>7</v>
      </c>
      <c r="C323" s="510">
        <v>29796.075999999997</v>
      </c>
      <c r="D323" s="451" t="s">
        <v>2170</v>
      </c>
      <c r="E323" s="451"/>
      <c r="F323" s="451"/>
      <c r="G323" s="451"/>
    </row>
    <row r="324" spans="2:34">
      <c r="B324" s="449" t="s">
        <v>18</v>
      </c>
      <c r="C324" s="510">
        <v>21756.456000000002</v>
      </c>
      <c r="D324" s="451" t="s">
        <v>2171</v>
      </c>
      <c r="E324" s="451"/>
      <c r="F324" s="451"/>
      <c r="G324" s="451"/>
    </row>
    <row r="325" spans="2:34">
      <c r="B325" s="449" t="s">
        <v>1445</v>
      </c>
      <c r="C325" s="510">
        <v>18497.737000000001</v>
      </c>
      <c r="D325" s="451" t="s">
        <v>2172</v>
      </c>
      <c r="E325" s="451"/>
      <c r="F325" s="451"/>
      <c r="G325" s="451"/>
    </row>
    <row r="326" spans="2:34">
      <c r="B326" s="290" t="s">
        <v>1623</v>
      </c>
      <c r="C326" s="614">
        <v>127950.16999999876</v>
      </c>
      <c r="D326" s="615"/>
      <c r="E326" s="615"/>
      <c r="F326" s="615"/>
      <c r="G326" s="615"/>
    </row>
    <row r="327" spans="2:34">
      <c r="B327" s="425" t="s">
        <v>3</v>
      </c>
      <c r="C327" s="441">
        <v>793659.55199999874</v>
      </c>
      <c r="D327" s="442" t="s">
        <v>1080</v>
      </c>
      <c r="E327" s="442"/>
      <c r="F327" s="428"/>
      <c r="G327" s="428"/>
    </row>
    <row r="328" spans="2:34">
      <c r="B328" s="87" t="s">
        <v>2391</v>
      </c>
    </row>
    <row r="331" spans="2:34" ht="15.6">
      <c r="B331" s="1043" t="s">
        <v>1081</v>
      </c>
      <c r="C331" s="616"/>
      <c r="D331" s="617"/>
      <c r="E331" s="616"/>
      <c r="F331" s="617"/>
      <c r="G331" s="616"/>
      <c r="H331" s="617"/>
      <c r="I331" s="617"/>
      <c r="J331" s="616"/>
      <c r="K331" s="616"/>
      <c r="L331" s="616"/>
      <c r="M331" s="616"/>
      <c r="N331" s="616"/>
      <c r="O331" s="616"/>
      <c r="P331" s="616"/>
      <c r="Q331" s="616"/>
      <c r="R331" s="616"/>
      <c r="W331" s="86" t="s">
        <v>1082</v>
      </c>
    </row>
    <row r="332" spans="2:34">
      <c r="B332" s="618" t="s">
        <v>1083</v>
      </c>
      <c r="C332" s="616"/>
      <c r="D332" s="617"/>
      <c r="E332" s="616"/>
      <c r="F332" s="617"/>
      <c r="G332" s="616"/>
      <c r="H332" s="617"/>
      <c r="I332" s="616"/>
      <c r="J332" s="616"/>
      <c r="K332" s="616"/>
      <c r="L332" s="616"/>
      <c r="M332" s="616"/>
      <c r="N332" s="616"/>
      <c r="O332" s="616"/>
      <c r="P332" s="616"/>
      <c r="Q332" s="616"/>
      <c r="R332" s="616"/>
      <c r="W332" s="81" t="s">
        <v>1084</v>
      </c>
    </row>
    <row r="333" spans="2:34">
      <c r="B333" s="618"/>
      <c r="C333" s="616"/>
      <c r="D333" s="617"/>
      <c r="E333" s="616"/>
      <c r="F333" s="617"/>
      <c r="G333" s="616"/>
      <c r="H333" s="617"/>
      <c r="I333" s="616"/>
      <c r="J333" s="616"/>
      <c r="K333" s="616"/>
      <c r="L333" s="616"/>
      <c r="M333" s="616"/>
      <c r="N333" s="616"/>
      <c r="O333" s="616"/>
      <c r="P333" s="616"/>
      <c r="Q333" s="616"/>
      <c r="R333" s="616"/>
    </row>
    <row r="334" spans="2:34">
      <c r="B334" s="3"/>
      <c r="C334" s="1011">
        <v>2024</v>
      </c>
      <c r="D334" s="518"/>
      <c r="E334" s="1011">
        <v>2023</v>
      </c>
      <c r="F334" s="518"/>
      <c r="G334" s="1011">
        <v>2022</v>
      </c>
      <c r="H334" s="518"/>
      <c r="I334" s="1011">
        <v>2021</v>
      </c>
      <c r="J334" s="1011"/>
      <c r="K334" s="1011">
        <v>2020</v>
      </c>
      <c r="L334" s="1011"/>
      <c r="M334" s="985">
        <v>2019</v>
      </c>
      <c r="N334" s="985"/>
      <c r="O334" s="985">
        <v>2018</v>
      </c>
      <c r="P334" s="985"/>
      <c r="Q334" s="985">
        <v>2017</v>
      </c>
      <c r="R334" s="985"/>
      <c r="W334" s="3"/>
      <c r="X334" s="985">
        <v>2024</v>
      </c>
      <c r="Y334" s="985">
        <v>2023</v>
      </c>
      <c r="Z334" s="985">
        <v>2022</v>
      </c>
      <c r="AA334" s="985">
        <v>2021</v>
      </c>
      <c r="AB334" s="985">
        <v>2020</v>
      </c>
      <c r="AC334" s="985">
        <v>2019</v>
      </c>
      <c r="AD334" s="985">
        <v>2018</v>
      </c>
      <c r="AE334" s="985">
        <v>2017</v>
      </c>
      <c r="AF334" s="985">
        <v>2016</v>
      </c>
      <c r="AG334" s="985">
        <v>2015</v>
      </c>
      <c r="AH334" s="985">
        <v>2014</v>
      </c>
    </row>
    <row r="335" spans="2:34">
      <c r="B335" s="3"/>
      <c r="C335" s="619" t="s">
        <v>1085</v>
      </c>
      <c r="D335" s="619" t="s">
        <v>1086</v>
      </c>
      <c r="E335" s="619" t="s">
        <v>1085</v>
      </c>
      <c r="F335" s="619" t="s">
        <v>1086</v>
      </c>
      <c r="G335" s="619" t="s">
        <v>1085</v>
      </c>
      <c r="H335" s="619" t="s">
        <v>1086</v>
      </c>
      <c r="I335" s="619" t="s">
        <v>1085</v>
      </c>
      <c r="J335" s="619" t="s">
        <v>1086</v>
      </c>
      <c r="K335" s="619" t="s">
        <v>1085</v>
      </c>
      <c r="L335" s="619" t="s">
        <v>1086</v>
      </c>
      <c r="M335" s="619" t="s">
        <v>1085</v>
      </c>
      <c r="N335" s="619" t="s">
        <v>1086</v>
      </c>
      <c r="O335" s="619" t="s">
        <v>1085</v>
      </c>
      <c r="P335" s="619" t="s">
        <v>1086</v>
      </c>
      <c r="Q335" s="619" t="s">
        <v>1085</v>
      </c>
      <c r="R335" s="619" t="s">
        <v>1086</v>
      </c>
      <c r="W335" s="620" t="s">
        <v>134</v>
      </c>
      <c r="X335" s="1313">
        <v>37</v>
      </c>
      <c r="Y335" s="1313">
        <v>37</v>
      </c>
      <c r="Z335" s="1313">
        <v>37</v>
      </c>
      <c r="AA335" s="621">
        <v>43</v>
      </c>
      <c r="AB335" s="621">
        <v>39</v>
      </c>
      <c r="AC335" s="621">
        <v>37</v>
      </c>
      <c r="AD335" s="622">
        <v>35</v>
      </c>
      <c r="AE335" s="622">
        <v>36</v>
      </c>
      <c r="AF335" s="622">
        <v>37</v>
      </c>
      <c r="AG335" s="622">
        <v>37</v>
      </c>
      <c r="AH335" s="622">
        <v>37</v>
      </c>
    </row>
    <row r="336" spans="2:34">
      <c r="B336" s="520" t="s">
        <v>53</v>
      </c>
      <c r="C336" s="520">
        <v>3</v>
      </c>
      <c r="D336" s="520">
        <v>35</v>
      </c>
      <c r="E336" s="520">
        <v>3.1</v>
      </c>
      <c r="F336" s="520">
        <v>36</v>
      </c>
      <c r="G336" s="520">
        <v>3.1</v>
      </c>
      <c r="H336" s="520">
        <v>35</v>
      </c>
      <c r="I336" s="624">
        <v>3.57</v>
      </c>
      <c r="J336" s="1315">
        <v>35</v>
      </c>
      <c r="K336" s="624">
        <v>3.1960000000000002</v>
      </c>
      <c r="L336" s="1315">
        <v>34</v>
      </c>
      <c r="M336" s="624">
        <v>3.1</v>
      </c>
      <c r="N336" s="625">
        <v>34</v>
      </c>
      <c r="O336" s="624">
        <v>2.9</v>
      </c>
      <c r="P336" s="625">
        <v>33.333333333333336</v>
      </c>
      <c r="Q336" s="624">
        <v>3</v>
      </c>
      <c r="R336" s="625">
        <v>34</v>
      </c>
      <c r="W336" s="626" t="s">
        <v>569</v>
      </c>
      <c r="X336" s="1313">
        <v>18</v>
      </c>
      <c r="Y336" s="1313">
        <v>18</v>
      </c>
      <c r="Z336" s="1313">
        <v>18</v>
      </c>
      <c r="AA336" s="621">
        <v>20</v>
      </c>
      <c r="AB336" s="621">
        <v>19</v>
      </c>
      <c r="AC336" s="621">
        <v>19</v>
      </c>
      <c r="AD336" s="622">
        <v>18</v>
      </c>
      <c r="AE336" s="622">
        <v>18</v>
      </c>
      <c r="AF336" s="622">
        <v>19</v>
      </c>
      <c r="AG336" s="622">
        <v>18</v>
      </c>
      <c r="AH336" s="622">
        <v>19</v>
      </c>
    </row>
    <row r="337" spans="2:34">
      <c r="B337" s="527" t="s">
        <v>1087</v>
      </c>
      <c r="C337" s="520">
        <v>1.5</v>
      </c>
      <c r="D337" s="520">
        <v>17</v>
      </c>
      <c r="E337" s="520">
        <v>1.5</v>
      </c>
      <c r="F337" s="520">
        <v>17</v>
      </c>
      <c r="G337" s="520">
        <v>1.5</v>
      </c>
      <c r="H337" s="520">
        <v>17</v>
      </c>
      <c r="I337" s="624">
        <v>1.734</v>
      </c>
      <c r="J337" s="1315">
        <v>17</v>
      </c>
      <c r="K337" s="624">
        <v>1.5980000000000001</v>
      </c>
      <c r="L337" s="1315">
        <v>17</v>
      </c>
      <c r="M337" s="624">
        <v>1.5</v>
      </c>
      <c r="N337" s="625">
        <v>16</v>
      </c>
      <c r="O337" s="624">
        <v>1.5</v>
      </c>
      <c r="P337" s="625">
        <v>17.241379310344829</v>
      </c>
      <c r="Q337" s="624">
        <v>1.462</v>
      </c>
      <c r="R337" s="627">
        <v>17</v>
      </c>
      <c r="W337" s="626" t="s">
        <v>1088</v>
      </c>
      <c r="X337" s="1313">
        <v>21</v>
      </c>
      <c r="Y337" s="1313">
        <v>21</v>
      </c>
      <c r="Z337" s="1313">
        <v>21</v>
      </c>
      <c r="AA337" s="621">
        <v>26</v>
      </c>
      <c r="AB337" s="621">
        <v>23</v>
      </c>
      <c r="AC337" s="621">
        <v>22</v>
      </c>
      <c r="AD337" s="622">
        <v>22</v>
      </c>
      <c r="AE337" s="622">
        <v>22</v>
      </c>
      <c r="AF337" s="622">
        <v>21</v>
      </c>
      <c r="AG337" s="622">
        <v>21</v>
      </c>
      <c r="AH337" s="622">
        <v>22</v>
      </c>
    </row>
    <row r="338" spans="2:34">
      <c r="B338" s="626" t="s">
        <v>1089</v>
      </c>
      <c r="C338" s="620">
        <v>1</v>
      </c>
      <c r="D338" s="620">
        <v>11</v>
      </c>
      <c r="E338" s="620">
        <v>1</v>
      </c>
      <c r="F338" s="620">
        <v>11</v>
      </c>
      <c r="G338" s="620">
        <v>1</v>
      </c>
      <c r="H338" s="620">
        <v>11</v>
      </c>
      <c r="I338" s="628">
        <v>1.1219999999999999</v>
      </c>
      <c r="J338" s="622">
        <v>11</v>
      </c>
      <c r="K338" s="628">
        <v>1.034</v>
      </c>
      <c r="L338" s="622">
        <v>11</v>
      </c>
      <c r="M338" s="624">
        <v>0.9</v>
      </c>
      <c r="N338" s="627">
        <v>11</v>
      </c>
      <c r="O338" s="624">
        <v>0.9</v>
      </c>
      <c r="P338" s="627">
        <v>10.344827586206899</v>
      </c>
      <c r="Q338" s="628">
        <v>1.032</v>
      </c>
      <c r="R338" s="629">
        <v>12</v>
      </c>
      <c r="W338" s="626" t="s">
        <v>1090</v>
      </c>
      <c r="X338" s="1313">
        <v>3</v>
      </c>
      <c r="Y338" s="1313">
        <v>3</v>
      </c>
      <c r="Z338" s="1313">
        <v>3</v>
      </c>
      <c r="AA338" s="621">
        <v>8</v>
      </c>
      <c r="AB338" s="621">
        <v>8</v>
      </c>
      <c r="AC338" s="621">
        <v>3</v>
      </c>
      <c r="AD338" s="622">
        <v>3</v>
      </c>
      <c r="AE338" s="622">
        <v>3</v>
      </c>
      <c r="AF338" s="622">
        <v>3</v>
      </c>
      <c r="AG338" s="622">
        <v>3</v>
      </c>
      <c r="AH338" s="622">
        <v>3</v>
      </c>
    </row>
    <row r="339" spans="2:34">
      <c r="B339" s="626" t="s">
        <v>1091</v>
      </c>
      <c r="C339" s="620">
        <v>0.5</v>
      </c>
      <c r="D339" s="620">
        <v>6</v>
      </c>
      <c r="E339" s="620">
        <v>0.5</v>
      </c>
      <c r="F339" s="620">
        <v>6</v>
      </c>
      <c r="G339" s="620">
        <v>0.5</v>
      </c>
      <c r="H339" s="620">
        <v>6</v>
      </c>
      <c r="I339" s="628">
        <v>0.61199999999999999</v>
      </c>
      <c r="J339" s="622">
        <v>6</v>
      </c>
      <c r="K339" s="628">
        <v>0.56400000000000006</v>
      </c>
      <c r="L339" s="622">
        <v>6</v>
      </c>
      <c r="M339" s="628">
        <v>0.48</v>
      </c>
      <c r="N339" s="629">
        <v>5</v>
      </c>
      <c r="O339" s="628">
        <v>0.5</v>
      </c>
      <c r="P339" s="629">
        <v>5.7471264367816097</v>
      </c>
      <c r="Q339" s="628">
        <v>0.42999999999999994</v>
      </c>
      <c r="R339" s="629">
        <v>5</v>
      </c>
      <c r="W339" s="626" t="s">
        <v>72</v>
      </c>
      <c r="X339" s="1313">
        <v>8</v>
      </c>
      <c r="Y339" s="1313">
        <v>6</v>
      </c>
      <c r="Z339" s="1313">
        <v>7</v>
      </c>
      <c r="AA339" s="621">
        <v>3</v>
      </c>
      <c r="AB339" s="621">
        <v>3</v>
      </c>
      <c r="AC339" s="621">
        <v>6</v>
      </c>
      <c r="AD339" s="622">
        <v>6</v>
      </c>
      <c r="AE339" s="622">
        <v>6</v>
      </c>
      <c r="AF339" s="622">
        <v>6</v>
      </c>
      <c r="AG339" s="622">
        <v>6</v>
      </c>
      <c r="AH339" s="622">
        <v>6</v>
      </c>
    </row>
    <row r="340" spans="2:34">
      <c r="B340" s="527" t="s">
        <v>1092</v>
      </c>
      <c r="C340" s="520">
        <v>4.2</v>
      </c>
      <c r="D340" s="520">
        <v>48</v>
      </c>
      <c r="E340" s="520">
        <v>4.2</v>
      </c>
      <c r="F340" s="520">
        <v>48</v>
      </c>
      <c r="G340" s="520">
        <v>4.2</v>
      </c>
      <c r="H340" s="520">
        <v>48</v>
      </c>
      <c r="I340" s="624">
        <v>4.9979999999999993</v>
      </c>
      <c r="J340" s="1315">
        <v>49</v>
      </c>
      <c r="K340" s="624">
        <v>4.6059999999999999</v>
      </c>
      <c r="L340" s="1315">
        <v>49</v>
      </c>
      <c r="M340" s="628">
        <v>4.3</v>
      </c>
      <c r="N340" s="629">
        <v>49</v>
      </c>
      <c r="O340" s="628">
        <v>4.3</v>
      </c>
      <c r="P340" s="629">
        <v>49.425287356321839</v>
      </c>
      <c r="Q340" s="624">
        <v>4.2139999999999995</v>
      </c>
      <c r="R340" s="627">
        <v>49</v>
      </c>
      <c r="W340" s="626" t="s">
        <v>1093</v>
      </c>
      <c r="X340" s="1313">
        <v>16</v>
      </c>
      <c r="Y340" s="1313">
        <v>16</v>
      </c>
      <c r="Z340" s="1313">
        <v>17</v>
      </c>
      <c r="AA340" s="621">
        <v>19</v>
      </c>
      <c r="AB340" s="621">
        <v>18</v>
      </c>
      <c r="AC340" s="621">
        <v>18</v>
      </c>
      <c r="AD340" s="622">
        <v>17</v>
      </c>
      <c r="AE340" s="622">
        <v>17</v>
      </c>
      <c r="AF340" s="622">
        <v>17</v>
      </c>
      <c r="AG340" s="622">
        <v>17</v>
      </c>
      <c r="AH340" s="622">
        <v>17</v>
      </c>
    </row>
    <row r="341" spans="2:34">
      <c r="B341" s="626" t="s">
        <v>1094</v>
      </c>
      <c r="C341" s="620">
        <v>1.7</v>
      </c>
      <c r="D341" s="620">
        <v>20</v>
      </c>
      <c r="E341" s="620">
        <v>1.8</v>
      </c>
      <c r="F341" s="620">
        <v>20</v>
      </c>
      <c r="G341" s="620">
        <v>1.7</v>
      </c>
      <c r="H341" s="620">
        <v>20</v>
      </c>
      <c r="I341" s="628">
        <v>2.1419999999999999</v>
      </c>
      <c r="J341" s="622">
        <v>21</v>
      </c>
      <c r="K341" s="628">
        <v>1.88</v>
      </c>
      <c r="L341" s="622">
        <v>20</v>
      </c>
      <c r="M341" s="624">
        <v>1.8</v>
      </c>
      <c r="N341" s="627">
        <v>21</v>
      </c>
      <c r="O341" s="624">
        <v>1.8</v>
      </c>
      <c r="P341" s="627">
        <v>20.689655172413797</v>
      </c>
      <c r="Q341" s="628">
        <v>1.8</v>
      </c>
      <c r="R341" s="629">
        <v>21</v>
      </c>
      <c r="W341" s="630" t="s">
        <v>39</v>
      </c>
      <c r="X341" s="1314">
        <v>3</v>
      </c>
      <c r="Y341" s="1314">
        <v>3</v>
      </c>
      <c r="Z341" s="1314">
        <v>3</v>
      </c>
      <c r="AA341" s="631">
        <v>3</v>
      </c>
      <c r="AB341" s="631">
        <v>3</v>
      </c>
      <c r="AC341" s="631">
        <v>3</v>
      </c>
      <c r="AD341" s="631">
        <v>3</v>
      </c>
      <c r="AE341" s="631">
        <v>3</v>
      </c>
      <c r="AF341" s="631">
        <v>3</v>
      </c>
      <c r="AG341" s="631">
        <v>3</v>
      </c>
      <c r="AH341" s="631">
        <v>3</v>
      </c>
    </row>
    <row r="342" spans="2:34">
      <c r="B342" s="626" t="s">
        <v>1095</v>
      </c>
      <c r="C342" s="620">
        <v>0.7</v>
      </c>
      <c r="D342" s="620">
        <v>7</v>
      </c>
      <c r="E342" s="620">
        <v>0.5</v>
      </c>
      <c r="F342" s="620">
        <v>6</v>
      </c>
      <c r="G342" s="620">
        <v>0.5</v>
      </c>
      <c r="H342" s="620">
        <v>6</v>
      </c>
      <c r="I342" s="628">
        <v>0.71399999999999997</v>
      </c>
      <c r="J342" s="622">
        <v>7</v>
      </c>
      <c r="K342" s="628">
        <v>0.65800000000000003</v>
      </c>
      <c r="L342" s="622">
        <v>7</v>
      </c>
      <c r="M342" s="628">
        <v>0.6</v>
      </c>
      <c r="N342" s="629">
        <v>6</v>
      </c>
      <c r="O342" s="628">
        <v>0.5</v>
      </c>
      <c r="P342" s="629">
        <v>5.7471264367816097</v>
      </c>
      <c r="Q342" s="628">
        <v>0.51600000000000001</v>
      </c>
      <c r="R342" s="629">
        <v>6</v>
      </c>
      <c r="W342" s="632" t="s">
        <v>52</v>
      </c>
      <c r="X342" s="633">
        <v>106</v>
      </c>
      <c r="Y342" s="633">
        <v>104</v>
      </c>
      <c r="Z342" s="633">
        <v>106</v>
      </c>
      <c r="AA342" s="633">
        <v>123</v>
      </c>
      <c r="AB342" s="633">
        <v>113</v>
      </c>
      <c r="AC342" s="633">
        <v>108</v>
      </c>
      <c r="AD342" s="633">
        <v>105</v>
      </c>
      <c r="AE342" s="633">
        <v>105</v>
      </c>
      <c r="AF342" s="633">
        <v>106</v>
      </c>
      <c r="AG342" s="633">
        <v>104</v>
      </c>
      <c r="AH342" s="633">
        <v>106</v>
      </c>
    </row>
    <row r="343" spans="2:34">
      <c r="B343" s="626" t="s">
        <v>1096</v>
      </c>
      <c r="C343" s="620">
        <v>0.3</v>
      </c>
      <c r="D343" s="620">
        <v>3</v>
      </c>
      <c r="E343" s="620">
        <v>0.3</v>
      </c>
      <c r="F343" s="620">
        <v>3</v>
      </c>
      <c r="G343" s="620">
        <v>0.3</v>
      </c>
      <c r="H343" s="620">
        <v>3</v>
      </c>
      <c r="I343" s="628">
        <v>0.30599999999999999</v>
      </c>
      <c r="J343" s="622">
        <v>3</v>
      </c>
      <c r="K343" s="628">
        <v>0.28200000000000003</v>
      </c>
      <c r="L343" s="622">
        <v>3</v>
      </c>
      <c r="M343" s="628">
        <v>0.3</v>
      </c>
      <c r="N343" s="629">
        <v>3</v>
      </c>
      <c r="O343" s="628">
        <v>0.3</v>
      </c>
      <c r="P343" s="629">
        <v>3.4482758620689653</v>
      </c>
      <c r="Q343" s="628">
        <v>0.25800000000000001</v>
      </c>
      <c r="R343" s="629">
        <v>3</v>
      </c>
      <c r="W343" s="634" t="s">
        <v>2403</v>
      </c>
      <c r="AE343" s="635"/>
    </row>
    <row r="344" spans="2:34">
      <c r="B344" s="626" t="s">
        <v>1097</v>
      </c>
      <c r="C344" s="620">
        <v>1.3</v>
      </c>
      <c r="D344" s="620">
        <v>15</v>
      </c>
      <c r="E344" s="620">
        <v>1.4</v>
      </c>
      <c r="F344" s="620">
        <v>16</v>
      </c>
      <c r="G344" s="620">
        <v>1.4</v>
      </c>
      <c r="H344" s="620">
        <v>16</v>
      </c>
      <c r="I344" s="628">
        <v>1.6319999999999999</v>
      </c>
      <c r="J344" s="622">
        <v>16</v>
      </c>
      <c r="K344" s="628">
        <v>1.504</v>
      </c>
      <c r="L344" s="622">
        <v>16</v>
      </c>
      <c r="M344" s="628">
        <v>1.5</v>
      </c>
      <c r="N344" s="629">
        <v>16</v>
      </c>
      <c r="O344" s="628">
        <v>1.4</v>
      </c>
      <c r="P344" s="629">
        <v>16.091954022988507</v>
      </c>
      <c r="Q344" s="628">
        <v>1.3759999999999999</v>
      </c>
      <c r="R344" s="629">
        <v>16</v>
      </c>
    </row>
    <row r="345" spans="2:34">
      <c r="B345" s="630" t="s">
        <v>1098</v>
      </c>
      <c r="C345" s="114">
        <v>0.2</v>
      </c>
      <c r="D345" s="114">
        <v>3</v>
      </c>
      <c r="E345" s="114">
        <v>0.2</v>
      </c>
      <c r="F345" s="114">
        <v>3</v>
      </c>
      <c r="G345" s="114">
        <v>0.3</v>
      </c>
      <c r="H345" s="114">
        <v>3</v>
      </c>
      <c r="I345" s="628">
        <v>0.30599999999999999</v>
      </c>
      <c r="J345" s="622">
        <v>3</v>
      </c>
      <c r="K345" s="1316">
        <v>0.28200000000000003</v>
      </c>
      <c r="L345" s="622">
        <v>3</v>
      </c>
      <c r="M345" s="628">
        <v>0.2</v>
      </c>
      <c r="N345" s="629">
        <v>3</v>
      </c>
      <c r="O345" s="628">
        <v>0.27</v>
      </c>
      <c r="P345" s="629">
        <v>3.1034482758620694</v>
      </c>
      <c r="Q345" s="636">
        <v>0.25800000000000001</v>
      </c>
      <c r="R345" s="637">
        <v>3</v>
      </c>
    </row>
    <row r="346" spans="2:34">
      <c r="B346" s="638" t="s">
        <v>52</v>
      </c>
      <c r="C346" s="1317">
        <v>8.6999999999999993</v>
      </c>
      <c r="D346" s="638"/>
      <c r="E346" s="1317">
        <v>8.6999999999999993</v>
      </c>
      <c r="F346" s="638"/>
      <c r="G346" s="1317">
        <v>8.9</v>
      </c>
      <c r="H346" s="638"/>
      <c r="I346" s="639">
        <v>10.199999999999999</v>
      </c>
      <c r="J346" s="623"/>
      <c r="K346" s="639">
        <v>9.4</v>
      </c>
      <c r="L346" s="623"/>
      <c r="M346" s="639">
        <v>9</v>
      </c>
      <c r="N346" s="623"/>
      <c r="O346" s="639">
        <v>8.6999999999999993</v>
      </c>
      <c r="P346" s="638"/>
      <c r="Q346" s="639">
        <v>8.5759999999999987</v>
      </c>
      <c r="R346" s="638"/>
    </row>
    <row r="347" spans="2:34">
      <c r="B347" s="634" t="s">
        <v>2403</v>
      </c>
      <c r="D347" s="640"/>
      <c r="F347" s="640"/>
      <c r="H347" s="640"/>
      <c r="I347" s="641"/>
      <c r="K347" s="641"/>
      <c r="L347" s="641"/>
      <c r="M347" s="641"/>
      <c r="N347" s="641"/>
      <c r="O347" s="641"/>
      <c r="P347" s="641"/>
      <c r="Q347" s="641"/>
      <c r="R347" s="641"/>
    </row>
    <row r="348" spans="2:34">
      <c r="B348" s="642"/>
      <c r="C348" s="70"/>
      <c r="D348" s="108"/>
      <c r="F348" s="108"/>
      <c r="H348" s="108"/>
    </row>
    <row r="349" spans="2:34">
      <c r="D349" s="108"/>
      <c r="F349" s="108"/>
      <c r="H349" s="108"/>
    </row>
    <row r="350" spans="2:34">
      <c r="D350" s="108"/>
      <c r="F350" s="108"/>
      <c r="H350" s="108"/>
    </row>
    <row r="351" spans="2:34" ht="17.399999999999999">
      <c r="D351" s="108"/>
      <c r="F351" s="108"/>
      <c r="G351" s="1044" t="s">
        <v>1957</v>
      </c>
      <c r="H351" s="108"/>
    </row>
    <row r="352" spans="2:34">
      <c r="D352" s="108"/>
      <c r="F352" s="108"/>
      <c r="G352" s="643" t="s">
        <v>1083</v>
      </c>
      <c r="H352" s="108"/>
      <c r="K352" s="643"/>
      <c r="L352" s="643"/>
      <c r="M352" s="643"/>
    </row>
    <row r="353" spans="2:12">
      <c r="C353" s="108"/>
      <c r="E353" s="108"/>
      <c r="G353" s="108"/>
      <c r="I353" s="5"/>
      <c r="J353" s="5"/>
      <c r="K353" s="5"/>
      <c r="L353" s="5"/>
    </row>
    <row r="354" spans="2:12">
      <c r="C354">
        <v>2021</v>
      </c>
      <c r="D354">
        <v>2023</v>
      </c>
      <c r="E354">
        <v>2024</v>
      </c>
      <c r="I354" s="5"/>
      <c r="J354" s="5"/>
      <c r="K354" s="5"/>
      <c r="L354" s="5"/>
    </row>
    <row r="355" spans="2:12">
      <c r="B355" s="644" t="s">
        <v>53</v>
      </c>
      <c r="C355" s="506">
        <v>3.57</v>
      </c>
      <c r="D355">
        <v>3.1</v>
      </c>
      <c r="E355">
        <v>3</v>
      </c>
    </row>
    <row r="356" spans="2:12">
      <c r="B356" s="523" t="s">
        <v>1099</v>
      </c>
      <c r="C356" s="506">
        <v>1.1219999999999999</v>
      </c>
      <c r="D356">
        <v>1</v>
      </c>
      <c r="E356">
        <v>1</v>
      </c>
    </row>
    <row r="357" spans="2:12">
      <c r="B357" s="523" t="s">
        <v>1100</v>
      </c>
      <c r="C357" s="506">
        <v>0.61199999999999999</v>
      </c>
      <c r="D357">
        <v>0.5</v>
      </c>
      <c r="E357">
        <v>0.5</v>
      </c>
    </row>
    <row r="358" spans="2:12">
      <c r="B358" s="523" t="s">
        <v>1094</v>
      </c>
      <c r="C358" s="506">
        <v>2.1419999999999999</v>
      </c>
      <c r="D358">
        <v>1.7</v>
      </c>
      <c r="E358">
        <v>1.7</v>
      </c>
    </row>
    <row r="359" spans="2:12">
      <c r="B359" s="523" t="s">
        <v>1095</v>
      </c>
      <c r="C359" s="506">
        <v>0.71399999999999997</v>
      </c>
      <c r="D359">
        <v>0.5</v>
      </c>
      <c r="E359">
        <v>0.7</v>
      </c>
    </row>
    <row r="360" spans="2:12">
      <c r="B360" s="523" t="s">
        <v>1096</v>
      </c>
      <c r="C360" s="506">
        <v>0.30599999999999999</v>
      </c>
      <c r="D360">
        <v>0.3</v>
      </c>
      <c r="E360">
        <v>0.3</v>
      </c>
    </row>
    <row r="361" spans="2:12">
      <c r="B361" s="523" t="s">
        <v>1097</v>
      </c>
      <c r="C361" s="506">
        <v>1.6319999999999999</v>
      </c>
      <c r="D361">
        <v>1.4</v>
      </c>
      <c r="E361">
        <v>1.3</v>
      </c>
    </row>
    <row r="362" spans="2:12">
      <c r="B362" s="555" t="s">
        <v>1098</v>
      </c>
      <c r="C362" s="506">
        <v>0.30599999999999999</v>
      </c>
      <c r="D362">
        <v>0.3</v>
      </c>
      <c r="E362">
        <v>0.2</v>
      </c>
    </row>
    <row r="363" spans="2:12">
      <c r="D363" s="108"/>
      <c r="F363" s="108"/>
      <c r="G363" s="506"/>
      <c r="H363" s="108"/>
    </row>
    <row r="364" spans="2:12">
      <c r="D364" s="108"/>
      <c r="F364" s="108"/>
      <c r="H364" s="108"/>
    </row>
    <row r="365" spans="2:12">
      <c r="D365" s="108"/>
      <c r="F365" s="108"/>
      <c r="H365" s="108"/>
    </row>
    <row r="366" spans="2:12">
      <c r="D366" s="108"/>
      <c r="F366" s="108"/>
      <c r="H366" s="108"/>
    </row>
    <row r="367" spans="2:12">
      <c r="D367" s="108"/>
      <c r="F367" s="108"/>
      <c r="H367" s="108"/>
    </row>
    <row r="368" spans="2:12">
      <c r="C368" s="506"/>
      <c r="D368" s="108"/>
      <c r="F368" s="108"/>
      <c r="H368" s="108"/>
    </row>
    <row r="369" spans="3:8">
      <c r="C369" s="506"/>
      <c r="D369" s="108"/>
      <c r="F369" s="108"/>
      <c r="H369" s="108"/>
    </row>
    <row r="370" spans="3:8">
      <c r="C370" s="506"/>
      <c r="D370" s="108"/>
      <c r="F370" s="108"/>
      <c r="H370" s="108"/>
    </row>
    <row r="371" spans="3:8">
      <c r="C371" s="506"/>
      <c r="D371" s="108"/>
      <c r="F371" s="108"/>
      <c r="H371" s="108"/>
    </row>
    <row r="372" spans="3:8">
      <c r="C372" s="506"/>
      <c r="D372" s="108"/>
      <c r="F372" s="108"/>
      <c r="H372" s="108"/>
    </row>
    <row r="373" spans="3:8">
      <c r="C373" s="506"/>
      <c r="D373" s="108"/>
      <c r="F373" s="108"/>
      <c r="H373" s="108"/>
    </row>
    <row r="374" spans="3:8">
      <c r="C374" s="506"/>
      <c r="D374" s="108"/>
      <c r="F374" s="108"/>
      <c r="H374" s="108"/>
    </row>
    <row r="375" spans="3:8">
      <c r="C375" s="506"/>
      <c r="D375" s="108"/>
      <c r="F375" s="108"/>
      <c r="H375" s="108"/>
    </row>
    <row r="376" spans="3:8">
      <c r="D376" s="108"/>
      <c r="F376" s="108"/>
      <c r="H376" s="108"/>
    </row>
    <row r="377" spans="3:8">
      <c r="D377" s="108"/>
      <c r="F377" s="108"/>
      <c r="H377" s="108"/>
    </row>
    <row r="378" spans="3:8">
      <c r="D378" s="108"/>
      <c r="F378" s="108"/>
      <c r="H378" s="108"/>
    </row>
    <row r="379" spans="3:8">
      <c r="D379" s="108"/>
      <c r="F379" s="108"/>
      <c r="H379" s="108"/>
    </row>
    <row r="380" spans="3:8">
      <c r="D380" s="108"/>
      <c r="F380" s="108"/>
      <c r="H380" s="108"/>
    </row>
    <row r="381" spans="3:8">
      <c r="D381" s="108"/>
      <c r="F381" s="108"/>
      <c r="H381" s="108"/>
    </row>
    <row r="382" spans="3:8">
      <c r="D382" s="108"/>
      <c r="F382" s="108"/>
      <c r="H382" s="108"/>
    </row>
    <row r="383" spans="3:8">
      <c r="D383" s="108"/>
      <c r="F383" s="108"/>
      <c r="H383" s="108"/>
    </row>
    <row r="384" spans="3:8">
      <c r="D384" s="108"/>
      <c r="F384" s="108"/>
      <c r="H384" s="108"/>
    </row>
    <row r="385" spans="4:8">
      <c r="D385" s="108"/>
      <c r="F385" s="108"/>
      <c r="H385" s="108"/>
    </row>
    <row r="386" spans="4:8">
      <c r="D386" s="108"/>
      <c r="F386" s="108"/>
      <c r="H386" s="108"/>
    </row>
    <row r="387" spans="4:8">
      <c r="D387" s="108"/>
      <c r="F387" s="108"/>
      <c r="H387" s="108"/>
    </row>
    <row r="388" spans="4:8">
      <c r="D388" s="108"/>
      <c r="F388" s="108"/>
      <c r="H388" s="108"/>
    </row>
    <row r="389" spans="4:8">
      <c r="D389" s="108"/>
      <c r="F389" s="108"/>
      <c r="H389" s="108"/>
    </row>
    <row r="390" spans="4:8">
      <c r="D390" s="108"/>
      <c r="F390" s="108"/>
      <c r="H390" s="108"/>
    </row>
  </sheetData>
  <mergeCells count="5">
    <mergeCell ref="D253:E253"/>
    <mergeCell ref="B147:D147"/>
    <mergeCell ref="D60:E60"/>
    <mergeCell ref="D206:E206"/>
    <mergeCell ref="D230:E230"/>
  </mergeCells>
  <phoneticPr fontId="138" type="noConversion"/>
  <hyperlinks>
    <hyperlink ref="B21" r:id="rId1" display="Source: IMF, 2016 World Development Indicators " xr:uid="{00000000-0004-0000-0F00-000000000000}"/>
    <hyperlink ref="H23" r:id="rId2" display="Source: Eurostat;" xr:uid="{00000000-0004-0000-0F00-000001000000}"/>
    <hyperlink ref="B55" r:id="rId3" display="Source: Statistische Bundesamt, Zierpflanzenerhebung 2021" xr:uid="{00000000-0004-0000-0F00-000002000000}"/>
    <hyperlink ref="B273" r:id="rId4" display="Source: Stat. Bundesamt, Baumschul- and Zierpflanzenerhebung 2017" xr:uid="{00000000-0004-0000-0F00-000003000000}"/>
    <hyperlink ref="B158" r:id="rId5" display="Source: Statistisches Bundesamt, Baumschulerhebungen 2017" xr:uid="{00000000-0004-0000-0F00-000004000000}"/>
    <hyperlink ref="N147" r:id="rId6" display="Source: Statistisches Bundesamt, Baumschulerhebung 2017" xr:uid="{00000000-0004-0000-0F00-000005000000}"/>
    <hyperlink ref="B148" r:id="rId7" display="Source: Statistisches Bundesamt, Zierpflanzenerhebung 2021" xr:uid="{00000000-0004-0000-0F00-000006000000}"/>
    <hyperlink ref="B78" r:id="rId8" display="Source: Statistische Bundesamt, Zierpflanzenerhebung 2021" xr:uid="{00000000-0004-0000-0F00-000007000000}"/>
    <hyperlink ref="N99" r:id="rId9" display="Source: Statistische Bundesamt, Zierpflanzenerhebung 2021" xr:uid="{00000000-0004-0000-0F00-000008000000}"/>
    <hyperlink ref="B104" r:id="rId10" display="Source: Statistische Bundesamt, Zierpflanzenerhebung 2021" xr:uid="{00000000-0004-0000-0F00-000009000000}"/>
    <hyperlink ref="N116" r:id="rId11" display="Source: Statistische Bundesamt, Zierpflanzenerhebung 2021" xr:uid="{00000000-0004-0000-0F00-00000A000000}"/>
    <hyperlink ref="B123" r:id="rId12" display="Source: Statistische Bundesamt, Zierpflanzenerhebung 2021" xr:uid="{00000000-0004-0000-0F00-00000B000000}"/>
    <hyperlink ref="B195" r:id="rId13" display="Source: Statistische Bundesamt, Zierpflanzenerhebung 2021" xr:uid="{00000000-0004-0000-0F00-00000C000000}"/>
  </hyperlinks>
  <pageMargins left="0.7" right="0.7" top="0.78740157499999996" bottom="0.78740157499999996" header="0.3" footer="0.3"/>
  <pageSetup paperSize="9" orientation="portrait" r:id="rId14"/>
  <drawing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30961-1C20-4334-8705-3365F98E7C05}">
  <sheetPr>
    <tabColor theme="0"/>
  </sheetPr>
  <dimension ref="B1:N81"/>
  <sheetViews>
    <sheetView workbookViewId="0">
      <selection sqref="A1:XFD1048576"/>
    </sheetView>
  </sheetViews>
  <sheetFormatPr defaultColWidth="9.109375" defaultRowHeight="14.4"/>
  <cols>
    <col min="1" max="1" width="3.33203125" customWidth="1"/>
    <col min="2" max="2" width="13.5546875" customWidth="1"/>
    <col min="3" max="3" width="9.33203125" customWidth="1"/>
    <col min="4" max="5" width="9.33203125" style="108" customWidth="1"/>
    <col min="6" max="6" width="10.33203125" bestFit="1" customWidth="1"/>
    <col min="7" max="7" width="9.33203125" style="108" customWidth="1"/>
    <col min="8" max="8" width="10.44140625" customWidth="1"/>
    <col min="9" max="9" width="10" customWidth="1"/>
    <col min="10" max="11" width="9.33203125" style="108" customWidth="1"/>
    <col min="12" max="12" width="11.5546875" customWidth="1"/>
  </cols>
  <sheetData>
    <row r="1" spans="2:13" ht="15" customHeight="1">
      <c r="B1" s="83" t="s">
        <v>140</v>
      </c>
    </row>
    <row r="2" spans="2:13" ht="15" customHeight="1">
      <c r="B2" s="83" t="s">
        <v>2428</v>
      </c>
    </row>
    <row r="3" spans="2:13" ht="15" customHeight="1">
      <c r="B3" s="1" t="s">
        <v>2429</v>
      </c>
    </row>
    <row r="4" spans="2:13" ht="15" customHeight="1">
      <c r="B4" s="1549" t="s">
        <v>0</v>
      </c>
      <c r="C4" s="1549"/>
      <c r="D4" s="1549"/>
      <c r="E4" s="1496"/>
      <c r="F4" s="1550" t="s">
        <v>1</v>
      </c>
      <c r="G4" s="1550"/>
      <c r="H4" s="1497"/>
      <c r="I4" s="1549" t="s">
        <v>2</v>
      </c>
      <c r="J4" s="1549"/>
      <c r="K4" s="1549"/>
    </row>
    <row r="5" spans="2:13" ht="15" customHeight="1">
      <c r="B5" s="85"/>
      <c r="C5" s="1498" t="s">
        <v>2430</v>
      </c>
      <c r="D5" s="1469" t="s">
        <v>2496</v>
      </c>
      <c r="E5" s="1469" t="s">
        <v>2434</v>
      </c>
      <c r="F5" s="1499" t="s">
        <v>4</v>
      </c>
      <c r="G5" s="1469" t="s">
        <v>2496</v>
      </c>
      <c r="H5" s="1469" t="s">
        <v>2434</v>
      </c>
      <c r="I5" s="1500" t="s">
        <v>2497</v>
      </c>
      <c r="J5" s="1469" t="s">
        <v>2496</v>
      </c>
      <c r="K5" s="1469" t="s">
        <v>2434</v>
      </c>
    </row>
    <row r="6" spans="2:13" ht="15" customHeight="1" thickBot="1">
      <c r="B6" s="36" t="s">
        <v>6</v>
      </c>
      <c r="C6" s="222">
        <v>57</v>
      </c>
      <c r="D6" s="1501">
        <v>24</v>
      </c>
      <c r="E6" s="1501">
        <v>7</v>
      </c>
      <c r="F6" s="59"/>
      <c r="G6" s="1501"/>
      <c r="H6" s="1501"/>
      <c r="I6" s="46"/>
      <c r="J6" s="1501"/>
      <c r="K6" s="1501"/>
      <c r="M6" s="98"/>
    </row>
    <row r="7" spans="2:13" ht="15" customHeight="1" thickBot="1">
      <c r="B7" s="36" t="s">
        <v>9</v>
      </c>
      <c r="C7" s="222">
        <v>684</v>
      </c>
      <c r="D7" s="1501">
        <v>24</v>
      </c>
      <c r="E7" s="1501">
        <v>1</v>
      </c>
      <c r="F7" s="59"/>
      <c r="G7" s="1501"/>
      <c r="H7" s="1501"/>
      <c r="I7" s="46"/>
      <c r="J7" s="1501"/>
      <c r="K7" s="1501"/>
    </row>
    <row r="8" spans="2:13" ht="15" customHeight="1" thickBot="1">
      <c r="B8" s="36" t="s">
        <v>2498</v>
      </c>
      <c r="C8" s="222">
        <v>352</v>
      </c>
      <c r="D8" s="1501">
        <v>21</v>
      </c>
      <c r="E8" s="1501">
        <v>2</v>
      </c>
      <c r="F8" s="59"/>
      <c r="G8" s="1501"/>
      <c r="H8" s="1501"/>
      <c r="I8" s="46">
        <v>178</v>
      </c>
      <c r="J8" s="1501">
        <v>21</v>
      </c>
      <c r="K8" s="1501">
        <v>2</v>
      </c>
    </row>
    <row r="9" spans="2:13" ht="15" customHeight="1" thickBot="1">
      <c r="B9" s="36" t="s">
        <v>13</v>
      </c>
      <c r="C9" s="222">
        <v>21456</v>
      </c>
      <c r="D9" s="1501">
        <v>24</v>
      </c>
      <c r="E9" s="1501">
        <v>3</v>
      </c>
      <c r="F9" s="59"/>
      <c r="G9" s="1501"/>
      <c r="H9" s="1501"/>
      <c r="I9" s="46">
        <v>1640</v>
      </c>
      <c r="J9" s="1501">
        <v>24</v>
      </c>
      <c r="K9" s="1501">
        <v>3</v>
      </c>
    </row>
    <row r="10" spans="2:13" ht="15" customHeight="1" thickBot="1">
      <c r="B10" s="36" t="s">
        <v>18</v>
      </c>
      <c r="C10" s="222">
        <v>10</v>
      </c>
      <c r="D10" s="1501">
        <v>23</v>
      </c>
      <c r="E10" s="1501">
        <v>9</v>
      </c>
      <c r="F10" s="59"/>
      <c r="G10" s="1501"/>
      <c r="H10" s="1501"/>
      <c r="I10" s="46"/>
      <c r="J10" s="1501"/>
      <c r="K10" s="1501"/>
    </row>
    <row r="11" spans="2:13" ht="15" customHeight="1" thickBot="1">
      <c r="B11" s="1502" t="s">
        <v>2438</v>
      </c>
      <c r="C11" s="216">
        <v>22600</v>
      </c>
      <c r="D11" s="1503"/>
      <c r="E11" s="1503"/>
      <c r="F11" s="60"/>
      <c r="G11" s="1503"/>
      <c r="H11" s="1503"/>
      <c r="I11" s="45"/>
      <c r="J11" s="1503"/>
      <c r="K11" s="1503"/>
    </row>
    <row r="12" spans="2:13" ht="15" customHeight="1" thickBot="1">
      <c r="B12" s="36" t="s">
        <v>22</v>
      </c>
      <c r="C12" s="222">
        <v>35</v>
      </c>
      <c r="D12" s="1501">
        <v>23</v>
      </c>
      <c r="E12" s="1501">
        <v>4</v>
      </c>
      <c r="F12" s="59"/>
      <c r="G12" s="1501"/>
      <c r="H12" s="1501"/>
      <c r="I12" s="46"/>
      <c r="J12" s="1501"/>
      <c r="K12" s="1501"/>
    </row>
    <row r="13" spans="2:13" ht="15" customHeight="1" thickBot="1">
      <c r="B13" s="36" t="s">
        <v>27</v>
      </c>
      <c r="C13" s="222">
        <v>3627</v>
      </c>
      <c r="D13" s="1501">
        <v>20</v>
      </c>
      <c r="E13" s="1501"/>
      <c r="F13" s="59">
        <v>31</v>
      </c>
      <c r="G13" s="1501" t="s">
        <v>2499</v>
      </c>
      <c r="H13" s="1501">
        <v>5</v>
      </c>
      <c r="I13" s="46"/>
      <c r="J13" s="1501"/>
      <c r="K13" s="1501"/>
    </row>
    <row r="14" spans="2:13" ht="15" customHeight="1" thickBot="1">
      <c r="B14" s="36" t="s">
        <v>30</v>
      </c>
      <c r="C14" s="222">
        <v>234</v>
      </c>
      <c r="D14" s="1501">
        <v>22</v>
      </c>
      <c r="E14" s="1501"/>
      <c r="F14" s="59"/>
      <c r="G14" s="1501"/>
      <c r="H14" s="1501"/>
      <c r="I14" s="46"/>
      <c r="J14" s="1501"/>
      <c r="K14" s="1501"/>
    </row>
    <row r="15" spans="2:13" ht="15" customHeight="1" thickBot="1">
      <c r="B15" s="36" t="s">
        <v>33</v>
      </c>
      <c r="C15" s="222">
        <v>2290</v>
      </c>
      <c r="D15" s="1501">
        <v>22</v>
      </c>
      <c r="E15" s="1501"/>
      <c r="F15" s="59">
        <v>85</v>
      </c>
      <c r="G15" s="1501">
        <v>22</v>
      </c>
      <c r="H15" s="1501">
        <v>6</v>
      </c>
      <c r="I15" s="46">
        <v>1077</v>
      </c>
      <c r="J15" s="1501">
        <v>22</v>
      </c>
      <c r="K15" s="1501"/>
    </row>
    <row r="16" spans="2:13" ht="12" customHeight="1">
      <c r="B16" s="92" t="s">
        <v>2500</v>
      </c>
      <c r="D16"/>
      <c r="E16"/>
    </row>
    <row r="17" spans="2:12" ht="12" customHeight="1">
      <c r="B17" s="92"/>
    </row>
    <row r="18" spans="2:12" ht="12" customHeight="1">
      <c r="B18" s="92" t="s">
        <v>2501</v>
      </c>
    </row>
    <row r="19" spans="2:12" ht="12" customHeight="1">
      <c r="B19" s="92" t="s">
        <v>2502</v>
      </c>
    </row>
    <row r="20" spans="2:12" ht="12" customHeight="1">
      <c r="B20" s="1495" t="s">
        <v>2503</v>
      </c>
    </row>
    <row r="21" spans="2:12" ht="12" customHeight="1">
      <c r="B21" s="1495" t="s">
        <v>2504</v>
      </c>
      <c r="D21"/>
      <c r="E21"/>
      <c r="G21"/>
      <c r="H21" s="108"/>
      <c r="L21" s="108"/>
    </row>
    <row r="22" spans="2:12" ht="12" customHeight="1">
      <c r="B22" s="1495" t="s">
        <v>2505</v>
      </c>
      <c r="D22"/>
      <c r="E22"/>
      <c r="G22"/>
      <c r="H22" s="108"/>
      <c r="L22" s="108"/>
    </row>
    <row r="23" spans="2:12">
      <c r="B23" s="92" t="s">
        <v>2506</v>
      </c>
    </row>
    <row r="24" spans="2:12">
      <c r="B24" s="92" t="s">
        <v>2507</v>
      </c>
    </row>
    <row r="25" spans="2:12">
      <c r="B25" s="92" t="s">
        <v>2508</v>
      </c>
    </row>
    <row r="26" spans="2:12">
      <c r="B26" s="92" t="s">
        <v>2509</v>
      </c>
    </row>
    <row r="27" spans="2:12" ht="15.6">
      <c r="B27" s="83" t="s">
        <v>70</v>
      </c>
    </row>
    <row r="28" spans="2:12" ht="15.6">
      <c r="B28" s="83" t="s">
        <v>2428</v>
      </c>
    </row>
    <row r="29" spans="2:12">
      <c r="B29" s="1" t="s">
        <v>2429</v>
      </c>
    </row>
    <row r="30" spans="2:12" ht="21" customHeight="1">
      <c r="B30" s="1504"/>
      <c r="C30" s="1505" t="s">
        <v>0</v>
      </c>
      <c r="D30" s="1496"/>
      <c r="E30" s="1496"/>
      <c r="F30" s="1550" t="s">
        <v>1</v>
      </c>
      <c r="G30" s="1550"/>
      <c r="H30" s="1497"/>
      <c r="I30" s="1549" t="s">
        <v>2</v>
      </c>
      <c r="J30" s="1549"/>
      <c r="K30" s="1549"/>
    </row>
    <row r="31" spans="2:12" ht="21.75" customHeight="1">
      <c r="B31" s="85"/>
      <c r="C31" s="1498" t="s">
        <v>2430</v>
      </c>
      <c r="D31" s="1469" t="s">
        <v>2496</v>
      </c>
      <c r="E31" s="1469" t="s">
        <v>2434</v>
      </c>
      <c r="F31" s="1499" t="s">
        <v>4</v>
      </c>
      <c r="G31" s="1469" t="s">
        <v>2496</v>
      </c>
      <c r="H31" s="1469" t="s">
        <v>2434</v>
      </c>
      <c r="I31" s="1500" t="s">
        <v>2497</v>
      </c>
      <c r="J31" s="1469" t="s">
        <v>2496</v>
      </c>
      <c r="K31" s="1469" t="s">
        <v>2434</v>
      </c>
    </row>
    <row r="32" spans="2:12" ht="15" customHeight="1" thickBot="1">
      <c r="B32" s="95" t="s">
        <v>5</v>
      </c>
      <c r="C32" s="222">
        <v>1717</v>
      </c>
      <c r="D32" s="1506">
        <v>20</v>
      </c>
      <c r="E32" s="1506">
        <v>3</v>
      </c>
      <c r="F32" s="46">
        <v>174</v>
      </c>
      <c r="G32" s="1507">
        <v>23</v>
      </c>
      <c r="H32" s="1507">
        <v>1</v>
      </c>
      <c r="I32" s="46">
        <v>463</v>
      </c>
      <c r="J32" s="1506">
        <v>20</v>
      </c>
      <c r="K32" s="1506">
        <v>3</v>
      </c>
    </row>
    <row r="33" spans="2:12" ht="15" customHeight="1" thickBot="1">
      <c r="B33" s="95" t="s">
        <v>6</v>
      </c>
      <c r="C33" s="222">
        <v>5546</v>
      </c>
      <c r="D33" s="1506">
        <v>24</v>
      </c>
      <c r="E33" s="1506">
        <v>16</v>
      </c>
      <c r="F33" s="46">
        <v>379</v>
      </c>
      <c r="G33" s="1507">
        <v>23</v>
      </c>
      <c r="H33" s="1507">
        <v>1</v>
      </c>
      <c r="I33" s="46">
        <v>699</v>
      </c>
      <c r="J33" s="1506">
        <v>24</v>
      </c>
      <c r="K33" s="1506">
        <v>16</v>
      </c>
      <c r="L33" s="1508"/>
    </row>
    <row r="34" spans="2:12" ht="15" customHeight="1" thickBot="1">
      <c r="B34" s="95" t="s">
        <v>7</v>
      </c>
      <c r="C34" s="222">
        <v>1959</v>
      </c>
      <c r="D34" s="1506">
        <v>24</v>
      </c>
      <c r="E34" s="1506">
        <v>4</v>
      </c>
      <c r="F34" s="46">
        <v>107</v>
      </c>
      <c r="G34" s="1507">
        <v>23</v>
      </c>
      <c r="H34" s="1507">
        <v>1</v>
      </c>
      <c r="I34" s="46">
        <v>161</v>
      </c>
      <c r="J34" s="1506">
        <v>24</v>
      </c>
      <c r="K34" s="1506">
        <v>4</v>
      </c>
    </row>
    <row r="35" spans="2:12" ht="15" customHeight="1" thickBot="1">
      <c r="B35" s="95" t="s">
        <v>8</v>
      </c>
      <c r="C35" s="222">
        <v>271</v>
      </c>
      <c r="D35" s="1506">
        <v>24</v>
      </c>
      <c r="E35" s="1506">
        <v>20</v>
      </c>
      <c r="F35" s="46">
        <v>17</v>
      </c>
      <c r="G35" s="1507">
        <v>23</v>
      </c>
      <c r="H35" s="1507">
        <v>1</v>
      </c>
      <c r="I35" s="46">
        <v>60</v>
      </c>
      <c r="J35" s="1506">
        <v>24</v>
      </c>
      <c r="K35" s="1506">
        <v>20</v>
      </c>
    </row>
    <row r="36" spans="2:12" ht="15" customHeight="1" thickBot="1">
      <c r="B36" s="95" t="s">
        <v>9</v>
      </c>
      <c r="C36" s="222">
        <v>11724</v>
      </c>
      <c r="D36" s="1506">
        <v>10</v>
      </c>
      <c r="E36" s="1506">
        <v>5</v>
      </c>
      <c r="F36" s="46">
        <v>368</v>
      </c>
      <c r="G36" s="1507">
        <v>23</v>
      </c>
      <c r="H36" s="1507">
        <v>1</v>
      </c>
      <c r="I36" s="46">
        <v>1970</v>
      </c>
      <c r="J36" s="1506">
        <v>10</v>
      </c>
      <c r="K36" s="1506">
        <v>5</v>
      </c>
    </row>
    <row r="37" spans="2:12" ht="15" customHeight="1" thickBot="1">
      <c r="B37" s="95" t="s">
        <v>10</v>
      </c>
      <c r="C37" s="222">
        <v>17160</v>
      </c>
      <c r="D37" s="1506">
        <v>21</v>
      </c>
      <c r="E37" s="1506">
        <v>15</v>
      </c>
      <c r="F37" s="46">
        <v>1339</v>
      </c>
      <c r="G37" s="1507">
        <v>23</v>
      </c>
      <c r="H37" s="1507">
        <v>2</v>
      </c>
      <c r="I37" s="46">
        <v>1536</v>
      </c>
      <c r="J37" s="1506">
        <v>21</v>
      </c>
      <c r="K37" s="1506">
        <v>15</v>
      </c>
    </row>
    <row r="38" spans="2:12" ht="15" customHeight="1" thickBot="1">
      <c r="B38" s="95" t="s">
        <v>11</v>
      </c>
      <c r="C38" s="222">
        <v>731</v>
      </c>
      <c r="D38" s="1506">
        <v>10</v>
      </c>
      <c r="E38" s="1506"/>
      <c r="F38" s="46">
        <v>53</v>
      </c>
      <c r="G38" s="1507">
        <v>23</v>
      </c>
      <c r="H38" s="1507">
        <v>1</v>
      </c>
      <c r="I38" s="46">
        <v>171</v>
      </c>
      <c r="J38" s="1506">
        <v>10</v>
      </c>
      <c r="K38" s="1506"/>
    </row>
    <row r="39" spans="2:12" ht="15" customHeight="1" thickBot="1">
      <c r="B39" s="95" t="s">
        <v>12</v>
      </c>
      <c r="C39" s="222">
        <v>31852</v>
      </c>
      <c r="D39" s="1506">
        <v>20</v>
      </c>
      <c r="E39" s="1506"/>
      <c r="F39" s="46">
        <v>1679</v>
      </c>
      <c r="G39" s="1507">
        <v>23</v>
      </c>
      <c r="H39" s="1507">
        <v>1</v>
      </c>
      <c r="I39" s="46">
        <v>10844</v>
      </c>
      <c r="J39" s="1506">
        <v>10</v>
      </c>
      <c r="K39" s="1506"/>
    </row>
    <row r="40" spans="2:12" ht="15" customHeight="1" thickBot="1">
      <c r="B40" s="95" t="s">
        <v>13</v>
      </c>
      <c r="C40" s="222">
        <v>16480</v>
      </c>
      <c r="D40" s="1506">
        <v>24</v>
      </c>
      <c r="E40" s="1506">
        <v>21</v>
      </c>
      <c r="F40" s="46">
        <v>5654</v>
      </c>
      <c r="G40" s="1507">
        <v>23</v>
      </c>
      <c r="H40" s="1507">
        <v>1</v>
      </c>
      <c r="I40" s="46">
        <v>4350</v>
      </c>
      <c r="J40" s="1506">
        <v>24</v>
      </c>
      <c r="K40" s="1506">
        <v>21</v>
      </c>
    </row>
    <row r="41" spans="2:12" ht="15" customHeight="1" thickBot="1">
      <c r="B41" s="95" t="s">
        <v>14</v>
      </c>
      <c r="C41" s="222">
        <v>115</v>
      </c>
      <c r="D41" s="1506">
        <v>18</v>
      </c>
      <c r="E41" s="1506"/>
      <c r="F41" s="46">
        <v>76</v>
      </c>
      <c r="G41" s="1507">
        <v>23</v>
      </c>
      <c r="H41" s="1506">
        <v>1</v>
      </c>
      <c r="I41" s="46"/>
      <c r="J41" s="1506"/>
      <c r="K41" s="1506"/>
    </row>
    <row r="42" spans="2:12" ht="15" customHeight="1" thickBot="1">
      <c r="B42" s="95" t="s">
        <v>15</v>
      </c>
      <c r="C42" s="222">
        <v>7240</v>
      </c>
      <c r="D42" s="1506">
        <v>23</v>
      </c>
      <c r="E42" s="1506">
        <v>6</v>
      </c>
      <c r="F42" s="46">
        <v>328</v>
      </c>
      <c r="G42" s="1507">
        <v>23</v>
      </c>
      <c r="H42" s="1506">
        <v>6</v>
      </c>
      <c r="I42" s="46"/>
      <c r="J42" s="1506"/>
      <c r="K42" s="1506"/>
    </row>
    <row r="43" spans="2:12" ht="15" customHeight="1" thickBot="1">
      <c r="B43" s="95" t="s">
        <v>18</v>
      </c>
      <c r="C43" s="222">
        <v>497</v>
      </c>
      <c r="D43" s="1506">
        <v>23</v>
      </c>
      <c r="E43" s="1506">
        <v>7</v>
      </c>
      <c r="F43" s="46">
        <v>259</v>
      </c>
      <c r="G43" s="1507">
        <v>23</v>
      </c>
      <c r="H43" s="1506">
        <v>1</v>
      </c>
      <c r="I43" s="46">
        <v>118</v>
      </c>
      <c r="J43" s="1506">
        <v>20</v>
      </c>
      <c r="K43" s="1506">
        <v>7</v>
      </c>
    </row>
    <row r="44" spans="2:12" ht="15" customHeight="1" thickBot="1">
      <c r="B44" s="95" t="s">
        <v>19</v>
      </c>
      <c r="C44" s="222">
        <v>795</v>
      </c>
      <c r="D44" s="1506">
        <v>24</v>
      </c>
      <c r="E44" s="1506">
        <v>8</v>
      </c>
      <c r="F44" s="46">
        <v>225</v>
      </c>
      <c r="G44" s="1507">
        <v>23</v>
      </c>
      <c r="H44" s="1506">
        <v>1</v>
      </c>
      <c r="I44" s="46">
        <v>278</v>
      </c>
      <c r="J44" s="1506">
        <v>24</v>
      </c>
      <c r="K44" s="1506">
        <v>8</v>
      </c>
    </row>
    <row r="45" spans="2:12" ht="15" customHeight="1">
      <c r="B45" s="117" t="s">
        <v>20</v>
      </c>
      <c r="C45" s="120">
        <v>4362</v>
      </c>
      <c r="D45" s="1509">
        <v>24</v>
      </c>
      <c r="E45" s="1509">
        <v>9</v>
      </c>
      <c r="F45" s="121">
        <v>1372</v>
      </c>
      <c r="G45" s="1510">
        <v>24</v>
      </c>
      <c r="H45" s="1509">
        <v>14</v>
      </c>
      <c r="I45" s="121"/>
      <c r="J45" s="1509"/>
      <c r="K45" s="1509"/>
    </row>
    <row r="46" spans="2:12" ht="15" customHeight="1">
      <c r="B46" s="85" t="s">
        <v>2510</v>
      </c>
      <c r="C46" s="48">
        <f>C32+C33+C34+C35+C36+C37+C38+C39+C40+C41+C42+C43+C44+C45</f>
        <v>100449</v>
      </c>
      <c r="D46" s="1511" t="s">
        <v>2439</v>
      </c>
      <c r="E46" s="1511"/>
      <c r="F46" s="48">
        <f>F32+F33+F34+F35+F36+F37+F38+F39+F41+F40+F42+F43+F44+F45</f>
        <v>12030</v>
      </c>
      <c r="G46" s="1511" t="s">
        <v>2439</v>
      </c>
      <c r="H46" s="1512"/>
      <c r="I46" s="48">
        <v>20650</v>
      </c>
      <c r="J46" s="1511" t="s">
        <v>2439</v>
      </c>
      <c r="K46" s="1511"/>
    </row>
    <row r="47" spans="2:12" ht="15" customHeight="1" thickBot="1">
      <c r="B47" s="1513" t="s">
        <v>22</v>
      </c>
      <c r="C47" s="222">
        <v>4103</v>
      </c>
      <c r="D47" s="1514">
        <v>23</v>
      </c>
      <c r="E47" s="1514">
        <v>10</v>
      </c>
      <c r="F47" s="1515"/>
      <c r="G47" s="1514"/>
      <c r="H47" s="1516"/>
      <c r="I47" s="1515"/>
      <c r="J47" s="1514"/>
      <c r="K47" s="1514"/>
    </row>
    <row r="48" spans="2:12" ht="15" customHeight="1" thickBot="1">
      <c r="B48" s="1513" t="s">
        <v>27</v>
      </c>
      <c r="C48" s="222">
        <v>824428</v>
      </c>
      <c r="D48" s="1514">
        <v>23</v>
      </c>
      <c r="E48" s="1514">
        <v>11</v>
      </c>
      <c r="F48" s="1515">
        <v>12149</v>
      </c>
      <c r="G48" s="1514" t="s">
        <v>2445</v>
      </c>
      <c r="H48" s="1516"/>
      <c r="I48" s="1515"/>
      <c r="J48" s="1514"/>
      <c r="K48" s="1514"/>
    </row>
    <row r="49" spans="2:14" ht="15" customHeight="1" thickBot="1">
      <c r="B49" s="1513" t="s">
        <v>28</v>
      </c>
      <c r="C49" s="222">
        <v>9219</v>
      </c>
      <c r="D49" s="1514">
        <v>23</v>
      </c>
      <c r="E49" s="1514"/>
      <c r="F49" s="1515"/>
      <c r="G49" s="1514"/>
      <c r="H49" s="1516"/>
      <c r="I49" s="1515"/>
      <c r="J49" s="1514"/>
      <c r="K49" s="1514"/>
    </row>
    <row r="50" spans="2:14" ht="15" customHeight="1" thickBot="1">
      <c r="B50" s="1513" t="s">
        <v>2511</v>
      </c>
      <c r="C50" s="222">
        <v>2325</v>
      </c>
      <c r="D50" s="1514">
        <v>21</v>
      </c>
      <c r="E50" s="1514">
        <v>17</v>
      </c>
      <c r="F50" s="1515"/>
      <c r="G50" s="1514"/>
      <c r="H50" s="1516"/>
      <c r="I50" s="1515"/>
      <c r="J50" s="1514"/>
      <c r="K50" s="1514"/>
    </row>
    <row r="51" spans="2:14" ht="15" customHeight="1" thickBot="1">
      <c r="B51" s="1513" t="s">
        <v>30</v>
      </c>
      <c r="C51" s="222">
        <v>3621</v>
      </c>
      <c r="D51" s="1514">
        <v>21</v>
      </c>
      <c r="E51" s="1514">
        <v>19</v>
      </c>
      <c r="F51" s="1515"/>
      <c r="G51" s="1514"/>
      <c r="H51" s="1516"/>
      <c r="I51" s="1515">
        <v>8382</v>
      </c>
      <c r="J51" s="1514">
        <v>18</v>
      </c>
      <c r="K51" s="1514"/>
      <c r="N51" s="98"/>
    </row>
    <row r="52" spans="2:14" ht="15" customHeight="1" thickBot="1">
      <c r="B52" s="1513" t="s">
        <v>26</v>
      </c>
      <c r="C52" s="222">
        <v>7634</v>
      </c>
      <c r="D52" s="1517" t="s">
        <v>2442</v>
      </c>
      <c r="E52" s="1514"/>
      <c r="F52" s="1515"/>
      <c r="G52" s="1514"/>
      <c r="H52" s="1516"/>
      <c r="I52" s="1515">
        <v>1142</v>
      </c>
      <c r="J52" s="1517" t="s">
        <v>2443</v>
      </c>
      <c r="K52" s="1514"/>
    </row>
    <row r="53" spans="2:14" ht="15" customHeight="1" thickBot="1">
      <c r="B53" s="1513" t="s">
        <v>31</v>
      </c>
      <c r="C53" s="222">
        <v>1538</v>
      </c>
      <c r="D53" s="1514">
        <v>13</v>
      </c>
      <c r="E53" s="1514"/>
      <c r="F53" s="1515"/>
      <c r="G53" s="1514"/>
      <c r="H53" s="1516"/>
      <c r="I53" s="1515">
        <v>2057</v>
      </c>
      <c r="J53" s="1514">
        <v>13</v>
      </c>
      <c r="K53" s="1514"/>
    </row>
    <row r="54" spans="2:14" ht="15" customHeight="1" thickBot="1">
      <c r="B54" s="1513" t="s">
        <v>34</v>
      </c>
      <c r="C54" s="222">
        <v>13870</v>
      </c>
      <c r="D54" s="1514">
        <v>20</v>
      </c>
      <c r="E54" s="1514"/>
      <c r="F54" s="1515">
        <v>1490</v>
      </c>
      <c r="G54" s="1514">
        <v>21</v>
      </c>
      <c r="H54" s="1516"/>
      <c r="I54" s="1515">
        <v>8300</v>
      </c>
      <c r="J54" s="1514">
        <v>20</v>
      </c>
      <c r="K54" s="1514">
        <v>18</v>
      </c>
    </row>
    <row r="55" spans="2:14" ht="15" customHeight="1" thickBot="1">
      <c r="B55" s="1513" t="s">
        <v>32</v>
      </c>
      <c r="C55" s="222">
        <v>15210</v>
      </c>
      <c r="D55" s="1514">
        <v>24</v>
      </c>
      <c r="E55" s="1514"/>
      <c r="F55" s="1515">
        <v>500</v>
      </c>
      <c r="G55" s="1514">
        <v>23</v>
      </c>
      <c r="H55" s="1514">
        <v>12</v>
      </c>
      <c r="I55" s="1515">
        <v>1794</v>
      </c>
      <c r="J55" s="1514">
        <v>24</v>
      </c>
      <c r="K55" s="1514"/>
    </row>
    <row r="56" spans="2:14" ht="15" customHeight="1">
      <c r="B56" s="117" t="s">
        <v>33</v>
      </c>
      <c r="C56" s="120">
        <v>162395</v>
      </c>
      <c r="D56" s="1509">
        <v>22</v>
      </c>
      <c r="E56" s="1509">
        <v>13</v>
      </c>
      <c r="F56" s="121">
        <v>5890</v>
      </c>
      <c r="G56" s="1509">
        <v>22</v>
      </c>
      <c r="H56" s="1509">
        <v>13</v>
      </c>
      <c r="I56" s="121">
        <v>22730</v>
      </c>
      <c r="J56" s="1509">
        <v>22</v>
      </c>
      <c r="K56" s="1509">
        <v>13</v>
      </c>
      <c r="L56" s="1306"/>
    </row>
    <row r="57" spans="2:14" ht="20.25" customHeight="1" thickBot="1">
      <c r="B57" s="1518" t="s">
        <v>2512</v>
      </c>
      <c r="C57" s="1519">
        <v>1044343</v>
      </c>
      <c r="D57" s="1520" t="s">
        <v>2439</v>
      </c>
      <c r="E57" s="1520"/>
      <c r="F57" s="1519">
        <v>20029</v>
      </c>
      <c r="G57" s="1520" t="s">
        <v>2439</v>
      </c>
      <c r="H57" s="1520"/>
      <c r="I57" s="1519">
        <v>44405</v>
      </c>
      <c r="J57" s="1521" t="s">
        <v>2439</v>
      </c>
      <c r="K57" s="1520"/>
      <c r="L57" s="72"/>
    </row>
    <row r="58" spans="2:14" ht="20.25" customHeight="1" thickTop="1">
      <c r="B58" s="38" t="s">
        <v>40</v>
      </c>
      <c r="C58" s="1522">
        <f>C57+C46</f>
        <v>1144792</v>
      </c>
      <c r="D58" s="1523" t="s">
        <v>2439</v>
      </c>
      <c r="E58" s="1523"/>
      <c r="F58" s="1522">
        <f>F57+F46</f>
        <v>32059</v>
      </c>
      <c r="G58" s="1523" t="s">
        <v>2439</v>
      </c>
      <c r="H58" s="1523"/>
      <c r="I58" s="48">
        <f>I57+I46</f>
        <v>65055</v>
      </c>
      <c r="J58" s="1524" t="s">
        <v>2439</v>
      </c>
      <c r="K58" s="1525"/>
    </row>
    <row r="59" spans="2:14" ht="12" customHeight="1">
      <c r="B59" s="92" t="s">
        <v>2513</v>
      </c>
      <c r="C59" s="92"/>
    </row>
    <row r="60" spans="2:14" ht="12" customHeight="1">
      <c r="B60" s="92"/>
      <c r="C60" s="92"/>
    </row>
    <row r="61" spans="2:14" ht="12" customHeight="1">
      <c r="B61" s="92" t="s">
        <v>2514</v>
      </c>
      <c r="D61"/>
      <c r="E61"/>
      <c r="G61"/>
      <c r="H61" s="108"/>
    </row>
    <row r="62" spans="2:14" s="92" customFormat="1" ht="12" customHeight="1">
      <c r="B62" s="92" t="s">
        <v>2515</v>
      </c>
    </row>
    <row r="63" spans="2:14" s="92" customFormat="1" ht="12" customHeight="1">
      <c r="B63" s="92" t="s">
        <v>2516</v>
      </c>
    </row>
    <row r="64" spans="2:14" s="92" customFormat="1" ht="12" customHeight="1">
      <c r="B64" s="92" t="s">
        <v>2517</v>
      </c>
    </row>
    <row r="65" spans="2:2" s="92" customFormat="1" ht="12" customHeight="1">
      <c r="B65" s="92" t="s">
        <v>2518</v>
      </c>
    </row>
    <row r="66" spans="2:2" s="92" customFormat="1" ht="12" customHeight="1">
      <c r="B66" s="92" t="s">
        <v>2519</v>
      </c>
    </row>
    <row r="67" spans="2:2" s="92" customFormat="1" ht="12" customHeight="1">
      <c r="B67" s="92" t="s">
        <v>2520</v>
      </c>
    </row>
    <row r="68" spans="2:2" s="92" customFormat="1" ht="12" customHeight="1">
      <c r="B68" s="92" t="s">
        <v>2521</v>
      </c>
    </row>
    <row r="69" spans="2:2" s="92" customFormat="1" ht="12" customHeight="1">
      <c r="B69" s="92" t="s">
        <v>2522</v>
      </c>
    </row>
    <row r="70" spans="2:2" s="92" customFormat="1" ht="12" customHeight="1">
      <c r="B70" s="92" t="s">
        <v>2523</v>
      </c>
    </row>
    <row r="71" spans="2:2" s="92" customFormat="1" ht="12" customHeight="1">
      <c r="B71" s="92" t="s">
        <v>2524</v>
      </c>
    </row>
    <row r="72" spans="2:2" s="92" customFormat="1" ht="12" customHeight="1">
      <c r="B72" s="92" t="s">
        <v>2525</v>
      </c>
    </row>
    <row r="73" spans="2:2" s="92" customFormat="1" ht="12" customHeight="1">
      <c r="B73" s="92" t="s">
        <v>2526</v>
      </c>
    </row>
    <row r="74" spans="2:2" ht="12" customHeight="1">
      <c r="B74" s="92" t="s">
        <v>2527</v>
      </c>
    </row>
    <row r="75" spans="2:2" ht="12" customHeight="1">
      <c r="B75" s="92" t="s">
        <v>2528</v>
      </c>
    </row>
    <row r="76" spans="2:2" ht="12" customHeight="1">
      <c r="B76" s="92" t="s">
        <v>2529</v>
      </c>
    </row>
    <row r="77" spans="2:2" ht="12" customHeight="1">
      <c r="B77" s="92" t="s">
        <v>2530</v>
      </c>
    </row>
    <row r="78" spans="2:2" ht="12" customHeight="1">
      <c r="B78" s="92" t="s">
        <v>2531</v>
      </c>
    </row>
    <row r="79" spans="2:2" ht="12" customHeight="1">
      <c r="B79" s="92" t="s">
        <v>2532</v>
      </c>
    </row>
    <row r="80" spans="2:2" ht="12" customHeight="1">
      <c r="B80" s="92" t="s">
        <v>2533</v>
      </c>
    </row>
    <row r="81" spans="2:2">
      <c r="B81" s="92" t="s">
        <v>2534</v>
      </c>
    </row>
  </sheetData>
  <mergeCells count="5">
    <mergeCell ref="B4:D4"/>
    <mergeCell ref="F4:G4"/>
    <mergeCell ref="I4:K4"/>
    <mergeCell ref="F30:G30"/>
    <mergeCell ref="I30:K30"/>
  </mergeCells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50"/>
  </sheetPr>
  <dimension ref="B1:L32"/>
  <sheetViews>
    <sheetView showGridLines="0" workbookViewId="0">
      <selection activeCell="C23" sqref="C23"/>
    </sheetView>
  </sheetViews>
  <sheetFormatPr defaultColWidth="10.88671875" defaultRowHeight="14.4"/>
  <cols>
    <col min="2" max="2" width="18.109375" customWidth="1"/>
  </cols>
  <sheetData>
    <row r="1" spans="2:12" ht="15.6">
      <c r="B1" s="83" t="s">
        <v>450</v>
      </c>
    </row>
    <row r="3" spans="2:12" ht="15.6">
      <c r="B3" s="83" t="s">
        <v>134</v>
      </c>
    </row>
    <row r="4" spans="2:12">
      <c r="B4" s="93" t="s">
        <v>195</v>
      </c>
    </row>
    <row r="5" spans="2:12">
      <c r="B5" s="194"/>
      <c r="C5" s="115" t="s">
        <v>2400</v>
      </c>
      <c r="D5" s="115" t="s">
        <v>1919</v>
      </c>
      <c r="E5" s="115" t="s">
        <v>1680</v>
      </c>
      <c r="F5" s="115" t="s">
        <v>1190</v>
      </c>
      <c r="G5" s="115" t="s">
        <v>505</v>
      </c>
      <c r="H5" s="115" t="s">
        <v>471</v>
      </c>
      <c r="I5" s="85">
        <v>2016</v>
      </c>
      <c r="J5" s="85">
        <v>2015</v>
      </c>
      <c r="K5" s="85">
        <v>2014</v>
      </c>
      <c r="L5" s="85">
        <v>2013</v>
      </c>
    </row>
    <row r="6" spans="2:12" ht="15" thickBot="1">
      <c r="B6" s="84" t="s">
        <v>399</v>
      </c>
      <c r="C6" s="95">
        <v>1.3</v>
      </c>
      <c r="D6" s="95">
        <v>2.5</v>
      </c>
      <c r="E6" s="95">
        <v>6.8</v>
      </c>
      <c r="F6" s="95">
        <v>11.4</v>
      </c>
      <c r="G6" s="95">
        <v>11.7</v>
      </c>
      <c r="H6" s="95">
        <v>18.600000000000001</v>
      </c>
      <c r="I6" s="1310">
        <v>11.5</v>
      </c>
      <c r="J6" s="164">
        <v>21.5</v>
      </c>
      <c r="K6" s="164">
        <v>19.7</v>
      </c>
      <c r="L6" s="164">
        <v>20.2</v>
      </c>
    </row>
    <row r="7" spans="2:12" ht="15" thickBot="1">
      <c r="B7" s="84" t="s">
        <v>115</v>
      </c>
      <c r="C7" s="95">
        <v>459.4</v>
      </c>
      <c r="D7" s="95">
        <v>464.6</v>
      </c>
      <c r="E7" s="95">
        <v>394.5</v>
      </c>
      <c r="F7" s="95">
        <v>344</v>
      </c>
      <c r="G7" s="95">
        <v>383.5</v>
      </c>
      <c r="H7" s="95">
        <v>465.4</v>
      </c>
      <c r="I7" s="1310">
        <v>404.2</v>
      </c>
      <c r="J7" s="164">
        <v>442.7</v>
      </c>
      <c r="K7" s="164">
        <v>427.2</v>
      </c>
      <c r="L7" s="164">
        <v>387.2</v>
      </c>
    </row>
    <row r="8" spans="2:12" ht="15" thickBot="1">
      <c r="B8" s="84" t="s">
        <v>407</v>
      </c>
      <c r="C8" s="95">
        <v>131.19999999999999</v>
      </c>
      <c r="D8" s="95">
        <v>103.2</v>
      </c>
      <c r="E8" s="95">
        <v>118.3</v>
      </c>
      <c r="F8" s="95">
        <v>112.8</v>
      </c>
      <c r="G8" s="95">
        <v>115.2</v>
      </c>
      <c r="H8" s="95">
        <v>123.5</v>
      </c>
      <c r="I8" s="1310">
        <v>116.7</v>
      </c>
      <c r="J8" s="164">
        <v>116.7</v>
      </c>
      <c r="K8" s="164">
        <v>104.6</v>
      </c>
      <c r="L8" s="164">
        <v>105</v>
      </c>
    </row>
    <row r="9" spans="2:12" ht="15" thickBot="1">
      <c r="B9" s="84" t="s">
        <v>113</v>
      </c>
      <c r="C9" s="95">
        <v>202.7</v>
      </c>
      <c r="D9" s="95">
        <v>204.6</v>
      </c>
      <c r="E9" s="95">
        <v>169.1</v>
      </c>
      <c r="F9" s="95">
        <v>126.8</v>
      </c>
      <c r="G9" s="95">
        <v>147.69999999999999</v>
      </c>
      <c r="H9" s="95">
        <v>213.9</v>
      </c>
      <c r="I9" s="1310">
        <v>178.9</v>
      </c>
      <c r="J9" s="164">
        <v>188.3</v>
      </c>
      <c r="K9" s="164">
        <v>173.1</v>
      </c>
      <c r="L9" s="164">
        <v>152.1</v>
      </c>
    </row>
    <row r="10" spans="2:12" ht="15" thickBot="1">
      <c r="B10" s="84" t="s">
        <v>408</v>
      </c>
      <c r="C10" s="59" t="s">
        <v>59</v>
      </c>
      <c r="D10" s="59" t="s">
        <v>59</v>
      </c>
      <c r="E10" s="59" t="s">
        <v>59</v>
      </c>
      <c r="F10" s="59" t="s">
        <v>59</v>
      </c>
      <c r="G10" s="59" t="s">
        <v>59</v>
      </c>
      <c r="H10" s="59" t="s">
        <v>59</v>
      </c>
      <c r="I10" s="1310">
        <v>7.9</v>
      </c>
      <c r="J10" s="164">
        <v>16</v>
      </c>
      <c r="K10" s="164">
        <v>16.2</v>
      </c>
      <c r="L10" s="164">
        <v>19.600000000000001</v>
      </c>
    </row>
    <row r="11" spans="2:12" ht="12.45" customHeight="1">
      <c r="B11" s="88" t="s">
        <v>451</v>
      </c>
    </row>
    <row r="12" spans="2:12" ht="11.55" customHeight="1">
      <c r="B12" s="87" t="s">
        <v>1954</v>
      </c>
    </row>
    <row r="13" spans="2:12" ht="11.55" customHeight="1">
      <c r="B13" s="87" t="s">
        <v>2401</v>
      </c>
    </row>
    <row r="14" spans="2:12" ht="22.95" customHeight="1">
      <c r="B14" s="83" t="s">
        <v>56</v>
      </c>
    </row>
    <row r="15" spans="2:12">
      <c r="B15" s="93" t="s">
        <v>46</v>
      </c>
    </row>
    <row r="16" spans="2:12">
      <c r="B16" s="194"/>
      <c r="C16" s="115" t="s">
        <v>2400</v>
      </c>
      <c r="D16" s="115" t="s">
        <v>1919</v>
      </c>
      <c r="E16" s="115" t="s">
        <v>1680</v>
      </c>
      <c r="F16" s="115" t="s">
        <v>1190</v>
      </c>
      <c r="G16" s="115" t="s">
        <v>505</v>
      </c>
      <c r="H16" s="115" t="s">
        <v>471</v>
      </c>
      <c r="I16" s="85">
        <v>2016</v>
      </c>
      <c r="J16" s="85">
        <v>2015</v>
      </c>
      <c r="K16" s="85">
        <v>2014</v>
      </c>
      <c r="L16" s="85">
        <v>2013</v>
      </c>
    </row>
    <row r="17" spans="2:12" ht="15" thickBot="1">
      <c r="B17" s="84" t="s">
        <v>399</v>
      </c>
      <c r="C17" s="59">
        <v>66</v>
      </c>
      <c r="D17" s="59">
        <v>67</v>
      </c>
      <c r="E17" s="59">
        <v>76</v>
      </c>
      <c r="F17" s="59">
        <v>93</v>
      </c>
      <c r="G17" s="59">
        <v>95</v>
      </c>
      <c r="H17" s="59">
        <v>176</v>
      </c>
      <c r="I17" s="204">
        <v>138.72409999999999</v>
      </c>
      <c r="J17" s="44">
        <v>113.4221</v>
      </c>
      <c r="K17" s="44">
        <v>147.376</v>
      </c>
      <c r="L17" s="44">
        <v>198.30779999999999</v>
      </c>
    </row>
    <row r="18" spans="2:12" ht="15" thickBot="1">
      <c r="B18" s="84" t="s">
        <v>121</v>
      </c>
      <c r="C18" s="59">
        <v>15</v>
      </c>
      <c r="D18" s="59">
        <v>17</v>
      </c>
      <c r="E18" s="59">
        <v>13</v>
      </c>
      <c r="F18" s="59">
        <v>15</v>
      </c>
      <c r="G18" s="59">
        <v>13</v>
      </c>
      <c r="H18" s="59">
        <v>27</v>
      </c>
      <c r="I18" s="204">
        <v>13.162800000000001</v>
      </c>
      <c r="J18" s="44">
        <v>17.366199999999999</v>
      </c>
      <c r="K18" s="44">
        <v>20.382899999999999</v>
      </c>
      <c r="L18" s="44">
        <v>40.898800000000001</v>
      </c>
    </row>
    <row r="19" spans="2:12" ht="15" thickBot="1">
      <c r="B19" s="84" t="s">
        <v>117</v>
      </c>
      <c r="C19" s="59" t="s">
        <v>59</v>
      </c>
      <c r="D19" s="59" t="s">
        <v>59</v>
      </c>
      <c r="E19" s="59" t="s">
        <v>59</v>
      </c>
      <c r="F19" s="59" t="s">
        <v>59</v>
      </c>
      <c r="G19" s="59" t="s">
        <v>59</v>
      </c>
      <c r="H19" s="59" t="s">
        <v>59</v>
      </c>
      <c r="I19" s="204">
        <v>7.3262999999999998</v>
      </c>
      <c r="J19" s="44">
        <v>9.5945</v>
      </c>
      <c r="K19" s="44">
        <v>11.7453</v>
      </c>
      <c r="L19" s="44">
        <v>14.6546</v>
      </c>
    </row>
    <row r="20" spans="2:12" ht="15" thickBot="1">
      <c r="B20" s="84" t="s">
        <v>406</v>
      </c>
      <c r="C20" s="59">
        <v>51</v>
      </c>
      <c r="D20" s="59">
        <v>49</v>
      </c>
      <c r="E20" s="59">
        <v>49</v>
      </c>
      <c r="F20" s="59">
        <v>46</v>
      </c>
      <c r="G20" s="59">
        <v>46</v>
      </c>
      <c r="H20" s="59">
        <v>86</v>
      </c>
      <c r="I20" s="204">
        <v>18.367699999999999</v>
      </c>
      <c r="J20" s="44">
        <v>19.884599999999999</v>
      </c>
      <c r="K20" s="44">
        <v>35.275599999999997</v>
      </c>
      <c r="L20" s="44">
        <v>37.290900000000001</v>
      </c>
    </row>
    <row r="21" spans="2:12" ht="15" thickBot="1">
      <c r="B21" s="84" t="s">
        <v>118</v>
      </c>
      <c r="C21" s="59" t="s">
        <v>59</v>
      </c>
      <c r="D21" s="59" t="s">
        <v>59</v>
      </c>
      <c r="E21" s="59" t="s">
        <v>59</v>
      </c>
      <c r="F21" s="59" t="s">
        <v>59</v>
      </c>
      <c r="G21" s="59" t="s">
        <v>59</v>
      </c>
      <c r="H21" s="59" t="s">
        <v>59</v>
      </c>
      <c r="I21" s="204">
        <v>8.7065999999999999</v>
      </c>
      <c r="J21" s="44">
        <v>15.7239</v>
      </c>
      <c r="K21" s="44">
        <v>16.197700000000001</v>
      </c>
      <c r="L21" s="44">
        <v>20.987100000000002</v>
      </c>
    </row>
    <row r="22" spans="2:12" ht="15" thickBot="1">
      <c r="B22" s="84" t="s">
        <v>128</v>
      </c>
      <c r="C22" s="59">
        <v>12</v>
      </c>
      <c r="D22" s="59">
        <v>10</v>
      </c>
      <c r="E22" s="59">
        <v>12</v>
      </c>
      <c r="F22" s="59">
        <v>11</v>
      </c>
      <c r="G22" s="59">
        <v>14</v>
      </c>
      <c r="H22" s="59">
        <v>20</v>
      </c>
      <c r="I22" s="204">
        <v>23.634599999999999</v>
      </c>
      <c r="J22" s="44">
        <v>22.566400000000002</v>
      </c>
      <c r="K22" s="44">
        <v>21.922000000000001</v>
      </c>
      <c r="L22" s="44">
        <v>27.233599999999999</v>
      </c>
    </row>
    <row r="23" spans="2:12" ht="15" thickBot="1">
      <c r="B23" s="84" t="s">
        <v>115</v>
      </c>
      <c r="C23" s="59">
        <v>752</v>
      </c>
      <c r="D23" s="59">
        <v>754</v>
      </c>
      <c r="E23" s="59">
        <v>666</v>
      </c>
      <c r="F23" s="59">
        <v>629</v>
      </c>
      <c r="G23" s="59">
        <v>864</v>
      </c>
      <c r="H23" s="59">
        <v>1021</v>
      </c>
      <c r="I23" s="204">
        <v>1091.4154000000001</v>
      </c>
      <c r="J23" s="44">
        <v>1087.1198999999999</v>
      </c>
      <c r="K23" s="44">
        <v>964.78269999999998</v>
      </c>
      <c r="L23" s="44">
        <v>908.07090000000005</v>
      </c>
    </row>
    <row r="24" spans="2:12" ht="15" thickBot="1">
      <c r="B24" s="84" t="s">
        <v>113</v>
      </c>
      <c r="C24" s="59">
        <v>411</v>
      </c>
      <c r="D24" s="59">
        <v>422</v>
      </c>
      <c r="E24" s="59">
        <v>461</v>
      </c>
      <c r="F24" s="59">
        <v>331</v>
      </c>
      <c r="G24" s="59">
        <v>453</v>
      </c>
      <c r="H24" s="59">
        <v>436</v>
      </c>
      <c r="I24" s="204">
        <v>345.7518</v>
      </c>
      <c r="J24" s="44">
        <v>354.36759999999998</v>
      </c>
      <c r="K24" s="44">
        <v>341.40050000000002</v>
      </c>
      <c r="L24" s="44">
        <v>326.40899999999999</v>
      </c>
    </row>
    <row r="25" spans="2:12" ht="15" thickBot="1">
      <c r="B25" s="84" t="s">
        <v>405</v>
      </c>
      <c r="C25" s="59">
        <v>958</v>
      </c>
      <c r="D25" s="59">
        <v>532</v>
      </c>
      <c r="E25" s="59">
        <v>613</v>
      </c>
      <c r="F25" s="59">
        <v>332</v>
      </c>
      <c r="G25" s="59">
        <v>361</v>
      </c>
      <c r="H25" s="59">
        <v>355</v>
      </c>
      <c r="I25" s="204">
        <v>340.00420000000003</v>
      </c>
      <c r="J25" s="44">
        <v>254.714</v>
      </c>
      <c r="K25" s="44">
        <v>249.5256</v>
      </c>
      <c r="L25" s="44">
        <v>363.96230000000003</v>
      </c>
    </row>
    <row r="26" spans="2:12" ht="15" thickBot="1">
      <c r="B26" s="84" t="s">
        <v>400</v>
      </c>
      <c r="C26" s="59">
        <v>23</v>
      </c>
      <c r="D26" s="59">
        <v>28</v>
      </c>
      <c r="E26" s="59">
        <v>33</v>
      </c>
      <c r="F26" s="59">
        <v>28</v>
      </c>
      <c r="G26" s="59">
        <v>21</v>
      </c>
      <c r="H26" s="59">
        <v>28</v>
      </c>
      <c r="I26" s="204">
        <v>9.5397999999999996</v>
      </c>
      <c r="J26" s="44">
        <v>12.9278</v>
      </c>
      <c r="K26" s="44">
        <v>14.3582</v>
      </c>
      <c r="L26" s="44">
        <v>12.584899999999999</v>
      </c>
    </row>
    <row r="27" spans="2:12" ht="15" thickBot="1">
      <c r="B27" s="84" t="s">
        <v>2402</v>
      </c>
      <c r="C27" s="59">
        <v>877</v>
      </c>
      <c r="D27" s="59">
        <v>848</v>
      </c>
      <c r="E27" s="59">
        <v>904</v>
      </c>
      <c r="F27" s="59">
        <v>1215</v>
      </c>
      <c r="G27" s="59">
        <v>1145</v>
      </c>
      <c r="H27" s="59" t="s">
        <v>59</v>
      </c>
      <c r="I27" s="204">
        <v>1519.6234999999999</v>
      </c>
      <c r="J27" s="44">
        <v>1618.0120999999999</v>
      </c>
      <c r="K27" s="44">
        <v>1569.3611000000001</v>
      </c>
      <c r="L27" s="44">
        <v>975.9117</v>
      </c>
    </row>
    <row r="28" spans="2:12">
      <c r="B28" s="152" t="s">
        <v>401</v>
      </c>
      <c r="C28" s="102">
        <v>14</v>
      </c>
      <c r="D28" s="102">
        <v>14</v>
      </c>
      <c r="E28" s="102">
        <v>15</v>
      </c>
      <c r="F28" s="102">
        <v>17</v>
      </c>
      <c r="G28" s="102">
        <v>26</v>
      </c>
      <c r="H28" s="102">
        <v>39</v>
      </c>
      <c r="I28" s="309">
        <v>65.585700000000003</v>
      </c>
      <c r="J28" s="39">
        <v>90.445800000000006</v>
      </c>
      <c r="K28" s="39">
        <v>92.298500000000004</v>
      </c>
      <c r="L28" s="39">
        <v>82.421199999999999</v>
      </c>
    </row>
    <row r="29" spans="2:12">
      <c r="B29" s="85" t="s">
        <v>52</v>
      </c>
      <c r="C29" s="85">
        <v>1893</v>
      </c>
      <c r="D29" s="85">
        <v>1893</v>
      </c>
      <c r="E29" s="85">
        <v>1938</v>
      </c>
      <c r="F29" s="85">
        <v>1502</v>
      </c>
      <c r="G29" s="85">
        <v>1893</v>
      </c>
      <c r="H29" s="85">
        <v>2188</v>
      </c>
      <c r="I29" s="169">
        <v>3581.8425000000002</v>
      </c>
      <c r="J29" s="169">
        <v>3616.1448999999998</v>
      </c>
      <c r="K29" s="169">
        <v>3484.6260999999995</v>
      </c>
      <c r="L29" s="169">
        <v>3008.7327999999998</v>
      </c>
    </row>
    <row r="30" spans="2:12">
      <c r="B30" s="88" t="s">
        <v>452</v>
      </c>
    </row>
    <row r="31" spans="2:12">
      <c r="B31" s="87" t="s">
        <v>1954</v>
      </c>
    </row>
    <row r="32" spans="2:12">
      <c r="B32" s="87" t="s">
        <v>2401</v>
      </c>
    </row>
  </sheetData>
  <phoneticPr fontId="138" type="noConversion"/>
  <hyperlinks>
    <hyperlink ref="B11" r:id="rId1" display="Souce: Marwoto, Budi: Development of Floriculture Industry in Indonesia, 2017, Presentation AIPH Annual meeting 2017" xr:uid="{00000000-0004-0000-1300-000000000000}"/>
    <hyperlink ref="B30" r:id="rId2" display="Souce: Marwoto, Budi: Development of Floriculture Industry in Indonesia, 2017, Presentation AIPH Annual meeting 2017" xr:uid="{00000000-0004-0000-1300-000001000000}"/>
  </hyperlinks>
  <pageMargins left="0.7" right="0.7" top="0.78740157499999996" bottom="0.78740157499999996" header="0.3" footer="0.3"/>
  <pageSetup paperSize="9" orientation="portrait" verticalDpi="300"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50"/>
  </sheetPr>
  <dimension ref="B2:W161"/>
  <sheetViews>
    <sheetView topLeftCell="A6" zoomScale="85" zoomScaleNormal="85" workbookViewId="0">
      <selection activeCell="L22" sqref="L22"/>
    </sheetView>
  </sheetViews>
  <sheetFormatPr defaultColWidth="11.44140625" defaultRowHeight="14.4"/>
  <cols>
    <col min="2" max="2" width="43" customWidth="1"/>
    <col min="3" max="3" width="12.109375" customWidth="1"/>
    <col min="4" max="4" width="14.44140625" customWidth="1"/>
    <col min="5" max="5" width="18.33203125" customWidth="1"/>
  </cols>
  <sheetData>
    <row r="2" spans="2:4" ht="15.6">
      <c r="B2" s="83" t="s">
        <v>1292</v>
      </c>
    </row>
    <row r="3" spans="2:4" ht="15.6">
      <c r="B3" s="83"/>
    </row>
    <row r="4" spans="2:4" ht="15.6">
      <c r="B4" s="83" t="s">
        <v>2417</v>
      </c>
    </row>
    <row r="5" spans="2:4" ht="15.6">
      <c r="B5" s="83"/>
    </row>
    <row r="6" spans="2:4" ht="15" customHeight="1">
      <c r="B6" s="13" t="s">
        <v>530</v>
      </c>
      <c r="C6" s="239">
        <v>18.399999999999999</v>
      </c>
      <c r="D6" s="240" t="s">
        <v>531</v>
      </c>
    </row>
    <row r="7" spans="2:4">
      <c r="B7" s="13" t="s">
        <v>532</v>
      </c>
      <c r="C7" s="241">
        <v>108.9</v>
      </c>
      <c r="D7" s="240" t="s">
        <v>533</v>
      </c>
    </row>
    <row r="8" spans="2:4">
      <c r="B8" s="242" t="s">
        <v>534</v>
      </c>
      <c r="C8" s="243">
        <v>167</v>
      </c>
      <c r="D8" s="244" t="s">
        <v>535</v>
      </c>
    </row>
    <row r="9" spans="2:4" ht="15" customHeight="1">
      <c r="B9" s="245"/>
      <c r="C9" s="246"/>
      <c r="D9" s="240"/>
    </row>
    <row r="10" spans="2:4" ht="15.6">
      <c r="B10" s="13" t="s">
        <v>536</v>
      </c>
      <c r="C10" s="247">
        <v>106</v>
      </c>
      <c r="D10" s="240" t="s">
        <v>537</v>
      </c>
    </row>
    <row r="11" spans="2:4" ht="15" customHeight="1">
      <c r="B11" s="245" t="s">
        <v>538</v>
      </c>
      <c r="C11" s="246">
        <v>5780</v>
      </c>
      <c r="D11" s="240" t="s">
        <v>539</v>
      </c>
    </row>
    <row r="12" spans="2:4">
      <c r="B12" s="13" t="s">
        <v>540</v>
      </c>
      <c r="C12" s="247">
        <v>261</v>
      </c>
      <c r="D12" s="240" t="s">
        <v>537</v>
      </c>
    </row>
    <row r="13" spans="2:4">
      <c r="B13" s="245" t="s">
        <v>541</v>
      </c>
      <c r="C13" s="246"/>
      <c r="D13" s="240"/>
    </row>
    <row r="14" spans="2:4">
      <c r="B14" s="245" t="s">
        <v>538</v>
      </c>
      <c r="C14" s="246">
        <v>14170</v>
      </c>
      <c r="D14" s="240" t="s">
        <v>542</v>
      </c>
    </row>
    <row r="15" spans="2:4" ht="15" customHeight="1">
      <c r="B15" s="248"/>
      <c r="C15" s="249"/>
      <c r="D15" s="244"/>
    </row>
    <row r="16" spans="2:4">
      <c r="B16" s="13" t="s">
        <v>543</v>
      </c>
      <c r="C16" s="239">
        <v>3.7</v>
      </c>
      <c r="D16" s="240" t="s">
        <v>544</v>
      </c>
    </row>
    <row r="17" spans="2:15" ht="26.4">
      <c r="B17" s="13" t="s">
        <v>545</v>
      </c>
      <c r="C17" s="239">
        <v>2.1</v>
      </c>
      <c r="D17" s="240" t="s">
        <v>546</v>
      </c>
    </row>
    <row r="18" spans="2:15" ht="5.25" customHeight="1">
      <c r="B18" s="245"/>
      <c r="C18" s="246"/>
      <c r="D18" s="246"/>
      <c r="E18" s="240"/>
    </row>
    <row r="19" spans="2:15">
      <c r="B19" s="250" t="s">
        <v>712</v>
      </c>
      <c r="C19" s="251"/>
      <c r="D19" s="251"/>
      <c r="E19" s="251"/>
    </row>
    <row r="20" spans="2:15">
      <c r="B20" s="252" t="s">
        <v>2415</v>
      </c>
      <c r="C20" s="253"/>
      <c r="D20" s="253"/>
      <c r="E20" s="82"/>
    </row>
    <row r="23" spans="2:15" ht="15.6">
      <c r="B23" s="83" t="s">
        <v>56</v>
      </c>
      <c r="C23" s="154"/>
      <c r="D23" s="83"/>
      <c r="E23" s="83"/>
      <c r="F23" s="83"/>
      <c r="G23" s="83"/>
      <c r="H23" s="83"/>
    </row>
    <row r="24" spans="2:15" ht="15.6">
      <c r="B24" s="93" t="s">
        <v>54</v>
      </c>
      <c r="C24" s="83"/>
      <c r="D24" s="83"/>
      <c r="E24" s="83"/>
      <c r="F24" s="83"/>
      <c r="G24" s="83"/>
      <c r="H24" s="83"/>
    </row>
    <row r="25" spans="2:15">
      <c r="B25" s="316"/>
      <c r="C25" s="317">
        <v>2024</v>
      </c>
      <c r="D25" s="317">
        <v>2023</v>
      </c>
      <c r="E25" s="317">
        <v>2022</v>
      </c>
      <c r="F25" s="479"/>
      <c r="G25" s="479"/>
      <c r="H25" s="479"/>
      <c r="I25" s="479"/>
      <c r="J25" s="479"/>
      <c r="K25" s="479"/>
      <c r="L25" s="479"/>
      <c r="M25" s="479"/>
      <c r="N25" s="479"/>
      <c r="O25" s="479"/>
    </row>
    <row r="26" spans="2:15" ht="15" thickBot="1">
      <c r="B26" s="84" t="s">
        <v>1823</v>
      </c>
      <c r="C26" s="222">
        <v>3500</v>
      </c>
      <c r="D26" s="46">
        <v>3500</v>
      </c>
      <c r="E26" s="46">
        <v>3500</v>
      </c>
      <c r="F26" s="121"/>
      <c r="G26" s="121"/>
      <c r="H26" s="121"/>
      <c r="I26" s="121"/>
      <c r="J26" s="121"/>
      <c r="K26" s="121"/>
      <c r="L26" s="121"/>
      <c r="M26" s="121"/>
      <c r="N26" s="121"/>
      <c r="O26" s="320"/>
    </row>
    <row r="27" spans="2:15">
      <c r="B27" s="77" t="s">
        <v>2049</v>
      </c>
      <c r="C27" s="92"/>
      <c r="F27" s="92"/>
      <c r="G27" s="92"/>
      <c r="H27" s="92"/>
    </row>
    <row r="28" spans="2:15">
      <c r="B28" s="87"/>
      <c r="C28" s="92"/>
      <c r="D28" s="92"/>
      <c r="E28" s="92"/>
      <c r="F28" s="92"/>
      <c r="G28" s="92"/>
      <c r="H28" s="92"/>
    </row>
    <row r="29" spans="2:15">
      <c r="B29" s="10"/>
      <c r="C29" s="92"/>
      <c r="D29" s="92"/>
      <c r="E29" s="92"/>
      <c r="F29" s="92"/>
      <c r="G29" s="92"/>
      <c r="H29" s="92"/>
    </row>
    <row r="30" spans="2:15" ht="15.6">
      <c r="B30" s="83" t="s">
        <v>56</v>
      </c>
      <c r="F30" s="92"/>
      <c r="G30" s="92"/>
      <c r="H30" s="92"/>
    </row>
    <row r="31" spans="2:15">
      <c r="B31" s="5" t="s">
        <v>2</v>
      </c>
      <c r="F31" s="92"/>
      <c r="G31" s="92"/>
      <c r="H31" s="92"/>
    </row>
    <row r="32" spans="2:15">
      <c r="B32" s="194"/>
      <c r="C32" s="317">
        <v>2024</v>
      </c>
      <c r="D32" s="317">
        <v>2023</v>
      </c>
      <c r="E32" s="317">
        <v>2022</v>
      </c>
      <c r="F32" s="479"/>
      <c r="G32" s="479"/>
      <c r="H32" s="479"/>
      <c r="I32" s="479"/>
      <c r="J32" s="479"/>
      <c r="K32" s="479"/>
      <c r="L32" s="479"/>
      <c r="M32" s="479"/>
      <c r="N32" s="479"/>
    </row>
    <row r="33" spans="2:14" ht="15" thickBot="1">
      <c r="B33" s="84" t="s">
        <v>1823</v>
      </c>
      <c r="C33" s="222">
        <v>80</v>
      </c>
      <c r="D33" s="46">
        <v>80</v>
      </c>
      <c r="E33" s="46">
        <v>80</v>
      </c>
      <c r="F33" s="121"/>
      <c r="G33" s="121"/>
      <c r="H33" s="121"/>
      <c r="I33" s="121"/>
      <c r="J33" s="121"/>
      <c r="K33" s="121"/>
      <c r="L33" s="121"/>
      <c r="M33" s="121"/>
      <c r="N33" s="121"/>
    </row>
    <row r="34" spans="2:14">
      <c r="B34" s="77" t="s">
        <v>2049</v>
      </c>
      <c r="C34" s="197"/>
      <c r="F34" s="92"/>
      <c r="G34" s="92"/>
      <c r="H34" s="92"/>
    </row>
    <row r="35" spans="2:14">
      <c r="B35" s="10"/>
      <c r="C35" s="92"/>
      <c r="D35" s="92"/>
      <c r="E35" s="92"/>
      <c r="F35" s="92"/>
      <c r="G35" s="92"/>
      <c r="H35" s="92"/>
    </row>
    <row r="39" spans="2:14" ht="15.6">
      <c r="B39" s="86" t="s">
        <v>2016</v>
      </c>
    </row>
    <row r="40" spans="2:14">
      <c r="B40" t="s">
        <v>596</v>
      </c>
    </row>
    <row r="41" spans="2:14">
      <c r="B41" t="s">
        <v>721</v>
      </c>
    </row>
    <row r="42" spans="2:14">
      <c r="B42" t="s">
        <v>1824</v>
      </c>
    </row>
    <row r="43" spans="2:14" ht="21">
      <c r="F43" s="1069"/>
    </row>
    <row r="44" spans="2:14">
      <c r="B44" s="331" t="s">
        <v>106</v>
      </c>
      <c r="C44" s="1561" t="s">
        <v>668</v>
      </c>
      <c r="D44" s="1561"/>
    </row>
    <row r="45" spans="2:14">
      <c r="B45" s="317"/>
      <c r="C45" s="317" t="s">
        <v>722</v>
      </c>
      <c r="D45" s="317" t="s">
        <v>574</v>
      </c>
    </row>
    <row r="46" spans="2:14">
      <c r="B46" s="317"/>
      <c r="C46" s="317"/>
      <c r="D46" s="317"/>
    </row>
    <row r="47" spans="2:14">
      <c r="B47" s="332" t="s">
        <v>52</v>
      </c>
      <c r="C47" s="333">
        <v>3500</v>
      </c>
      <c r="D47" s="333">
        <v>100</v>
      </c>
    </row>
    <row r="48" spans="2:14">
      <c r="B48" s="966" t="s">
        <v>1825</v>
      </c>
      <c r="C48" s="320">
        <v>1505</v>
      </c>
      <c r="D48" s="320">
        <v>43</v>
      </c>
    </row>
    <row r="49" spans="2:16">
      <c r="B49" s="966" t="s">
        <v>1826</v>
      </c>
      <c r="C49" s="320">
        <v>910</v>
      </c>
      <c r="D49" s="968">
        <v>26</v>
      </c>
    </row>
    <row r="50" spans="2:16">
      <c r="B50" s="967" t="s">
        <v>1827</v>
      </c>
      <c r="C50" s="320">
        <v>805</v>
      </c>
      <c r="D50" s="320">
        <v>23</v>
      </c>
    </row>
    <row r="51" spans="2:16">
      <c r="B51" s="966" t="s">
        <v>1828</v>
      </c>
      <c r="C51" s="320">
        <v>138.6</v>
      </c>
      <c r="D51" s="968">
        <v>3.96</v>
      </c>
    </row>
    <row r="52" spans="2:16">
      <c r="B52" s="966" t="s">
        <v>1829</v>
      </c>
      <c r="C52" s="320">
        <v>141.4</v>
      </c>
      <c r="D52" s="968">
        <v>4.04</v>
      </c>
    </row>
    <row r="53" spans="2:16">
      <c r="B53" s="77" t="s">
        <v>2049</v>
      </c>
      <c r="C53" s="23"/>
    </row>
    <row r="57" spans="2:16" ht="15.6">
      <c r="B57" s="86" t="s">
        <v>1671</v>
      </c>
    </row>
    <row r="58" spans="2:16">
      <c r="B58" s="81" t="s">
        <v>587</v>
      </c>
    </row>
    <row r="59" spans="2:16">
      <c r="B59" s="290" t="s">
        <v>732</v>
      </c>
    </row>
    <row r="60" spans="2:16" ht="15" thickBot="1">
      <c r="B60" s="312"/>
      <c r="C60" s="298">
        <v>2024</v>
      </c>
      <c r="D60" s="298">
        <v>2023</v>
      </c>
      <c r="E60" s="298">
        <v>2022</v>
      </c>
      <c r="F60" s="298">
        <v>2021</v>
      </c>
      <c r="G60" s="298">
        <v>2020</v>
      </c>
      <c r="H60" s="298">
        <v>2019</v>
      </c>
      <c r="I60" s="298">
        <v>2018</v>
      </c>
      <c r="J60" s="298">
        <v>2017</v>
      </c>
      <c r="K60" s="298">
        <v>2016</v>
      </c>
      <c r="L60" s="298">
        <v>2015</v>
      </c>
      <c r="M60" s="298">
        <v>2014</v>
      </c>
      <c r="N60" s="56"/>
      <c r="O60" s="56"/>
      <c r="P60" s="56"/>
    </row>
    <row r="61" spans="2:16" ht="15" thickBot="1">
      <c r="B61" s="340" t="s">
        <v>585</v>
      </c>
      <c r="C61" s="1157">
        <v>50354</v>
      </c>
      <c r="D61" s="1364">
        <v>50891</v>
      </c>
      <c r="E61" s="335">
        <v>58583</v>
      </c>
      <c r="F61" s="335">
        <v>53729</v>
      </c>
      <c r="G61" s="335">
        <v>44342</v>
      </c>
      <c r="H61" s="335">
        <v>42052</v>
      </c>
      <c r="I61" s="336">
        <v>39522</v>
      </c>
      <c r="J61" s="336">
        <v>35782</v>
      </c>
      <c r="K61" s="336">
        <v>29500</v>
      </c>
      <c r="L61" s="336">
        <v>27060</v>
      </c>
      <c r="M61" s="336">
        <v>21879</v>
      </c>
      <c r="N61" s="39"/>
      <c r="O61" s="39"/>
      <c r="P61" s="39"/>
    </row>
    <row r="62" spans="2:16" ht="15" thickBot="1">
      <c r="B62" s="337" t="s">
        <v>733</v>
      </c>
      <c r="C62" s="1158">
        <v>28783</v>
      </c>
      <c r="D62" s="1383">
        <v>26699</v>
      </c>
      <c r="E62" s="338">
        <v>29135</v>
      </c>
      <c r="F62" s="338">
        <v>25184</v>
      </c>
      <c r="G62" s="338">
        <v>19961</v>
      </c>
      <c r="H62" s="338">
        <v>24852</v>
      </c>
      <c r="I62" s="339">
        <v>25697</v>
      </c>
      <c r="J62" s="339">
        <v>27045</v>
      </c>
      <c r="K62" s="339">
        <v>23939</v>
      </c>
      <c r="L62" s="339">
        <v>19712</v>
      </c>
      <c r="M62" s="339">
        <v>15089</v>
      </c>
      <c r="N62" s="39"/>
      <c r="O62" s="39"/>
      <c r="P62" s="39"/>
    </row>
    <row r="63" spans="2:16" ht="15" thickBot="1">
      <c r="B63" s="334" t="s">
        <v>583</v>
      </c>
      <c r="C63" s="1159">
        <v>32176</v>
      </c>
      <c r="D63" s="1384">
        <v>29332</v>
      </c>
      <c r="E63" s="341">
        <v>29332</v>
      </c>
      <c r="F63" s="341">
        <v>22675</v>
      </c>
      <c r="G63" s="341">
        <v>15244</v>
      </c>
      <c r="H63" s="341">
        <v>18302</v>
      </c>
      <c r="I63" s="342">
        <v>17120</v>
      </c>
      <c r="J63" s="342">
        <v>16236</v>
      </c>
      <c r="K63" s="342">
        <v>15923</v>
      </c>
      <c r="L63" s="342">
        <v>12239</v>
      </c>
      <c r="M63" s="342">
        <v>9874</v>
      </c>
      <c r="N63" s="39"/>
      <c r="O63" s="39"/>
      <c r="P63" s="39"/>
    </row>
    <row r="64" spans="2:16">
      <c r="B64" s="343" t="s">
        <v>584</v>
      </c>
      <c r="C64" s="1160">
        <v>2</v>
      </c>
      <c r="D64" s="1385">
        <v>2</v>
      </c>
      <c r="E64" s="344">
        <v>4</v>
      </c>
      <c r="F64" s="344">
        <v>2</v>
      </c>
      <c r="G64" s="344">
        <v>10</v>
      </c>
      <c r="H64" s="344">
        <v>18</v>
      </c>
      <c r="I64" s="345">
        <v>12</v>
      </c>
      <c r="J64" s="345">
        <v>5</v>
      </c>
      <c r="K64" s="345">
        <v>9</v>
      </c>
      <c r="L64" s="345">
        <v>0</v>
      </c>
      <c r="M64" s="346">
        <v>1</v>
      </c>
      <c r="N64" s="39"/>
      <c r="O64" s="39"/>
      <c r="P64" s="39"/>
    </row>
    <row r="65" spans="2:16">
      <c r="B65" s="347" t="s">
        <v>52</v>
      </c>
      <c r="C65" s="347">
        <f>C64+C63+C62+C61</f>
        <v>111315</v>
      </c>
      <c r="D65" s="347">
        <f>D64+D63+D62+D61</f>
        <v>106924</v>
      </c>
      <c r="E65" s="347">
        <f>E64+E63+E62+E61</f>
        <v>117054</v>
      </c>
      <c r="F65" s="347">
        <v>101590</v>
      </c>
      <c r="G65" s="347">
        <v>79557</v>
      </c>
      <c r="H65" s="347">
        <v>85224</v>
      </c>
      <c r="I65" s="347">
        <v>82351</v>
      </c>
      <c r="J65" s="347">
        <v>79068</v>
      </c>
      <c r="K65" s="347">
        <v>69371</v>
      </c>
      <c r="L65" s="347">
        <v>59011</v>
      </c>
      <c r="M65" s="347">
        <v>46843</v>
      </c>
      <c r="N65" s="207"/>
      <c r="O65" s="207"/>
      <c r="P65" s="207"/>
    </row>
    <row r="66" spans="2:16">
      <c r="B66" s="348" t="s">
        <v>2018</v>
      </c>
      <c r="C66" s="182"/>
      <c r="D66" s="182"/>
      <c r="E66" s="182"/>
      <c r="F66" s="182"/>
      <c r="G66" s="182"/>
      <c r="H66" s="182"/>
      <c r="I66" s="182"/>
      <c r="J66" s="182"/>
      <c r="K66" s="349"/>
      <c r="L66" s="182"/>
      <c r="M66" s="182"/>
      <c r="N66" s="182"/>
      <c r="O66" s="182"/>
    </row>
    <row r="67" spans="2:16">
      <c r="C67" s="350"/>
      <c r="D67" s="350"/>
      <c r="E67" s="350"/>
      <c r="F67" s="350"/>
      <c r="G67" s="350"/>
      <c r="H67" s="350"/>
      <c r="I67" s="350"/>
      <c r="J67" s="350"/>
      <c r="K67" s="350"/>
      <c r="L67" s="350"/>
      <c r="M67" s="350"/>
      <c r="N67" s="350"/>
      <c r="O67" s="182"/>
    </row>
    <row r="68" spans="2:16">
      <c r="B68" s="81" t="s">
        <v>587</v>
      </c>
      <c r="C68" s="139"/>
      <c r="D68" s="139"/>
      <c r="E68" s="139"/>
      <c r="K68" s="134"/>
    </row>
    <row r="69" spans="2:16">
      <c r="B69" s="290" t="s">
        <v>734</v>
      </c>
      <c r="K69" s="134"/>
    </row>
    <row r="70" spans="2:16" ht="15" thickBot="1">
      <c r="B70" s="298"/>
      <c r="C70" s="298">
        <v>2024</v>
      </c>
      <c r="D70" s="298">
        <v>2023</v>
      </c>
      <c r="E70" s="298">
        <v>2022</v>
      </c>
      <c r="F70" s="298">
        <v>2021</v>
      </c>
      <c r="G70" s="298">
        <v>2020</v>
      </c>
      <c r="H70" s="298">
        <v>2019</v>
      </c>
      <c r="I70" s="298">
        <v>2018</v>
      </c>
      <c r="J70" s="298">
        <v>2017</v>
      </c>
      <c r="K70" s="298">
        <v>2016</v>
      </c>
      <c r="L70" s="298">
        <v>2015</v>
      </c>
      <c r="M70" s="298">
        <v>2014</v>
      </c>
      <c r="N70" s="56"/>
      <c r="O70" s="56"/>
      <c r="P70" s="56"/>
    </row>
    <row r="71" spans="2:16" ht="15" thickBot="1">
      <c r="B71" s="337" t="s">
        <v>733</v>
      </c>
      <c r="C71" s="1386">
        <v>10020</v>
      </c>
      <c r="D71" s="762">
        <v>9525</v>
      </c>
      <c r="E71" s="335">
        <v>10254</v>
      </c>
      <c r="F71" s="335">
        <v>26554</v>
      </c>
      <c r="G71" s="335">
        <v>9031</v>
      </c>
      <c r="H71" s="335">
        <v>9870</v>
      </c>
      <c r="I71" s="335">
        <v>10301</v>
      </c>
      <c r="J71" s="336">
        <v>10978</v>
      </c>
      <c r="K71" s="336">
        <v>10394</v>
      </c>
      <c r="L71" s="336">
        <v>9654</v>
      </c>
      <c r="M71" s="336">
        <v>9837</v>
      </c>
      <c r="N71" s="39"/>
      <c r="O71" s="39"/>
      <c r="P71" s="39"/>
    </row>
    <row r="72" spans="2:16" ht="15" thickBot="1">
      <c r="B72" s="340" t="s">
        <v>585</v>
      </c>
      <c r="C72" s="1387">
        <v>13129</v>
      </c>
      <c r="D72" s="338">
        <v>16188</v>
      </c>
      <c r="E72" s="338">
        <v>14310</v>
      </c>
      <c r="F72" s="338">
        <v>19199</v>
      </c>
      <c r="G72" s="338">
        <v>14972</v>
      </c>
      <c r="H72" s="338">
        <v>12815</v>
      </c>
      <c r="I72" s="338">
        <v>12318</v>
      </c>
      <c r="J72" s="339">
        <v>11454</v>
      </c>
      <c r="K72" s="339">
        <v>11015</v>
      </c>
      <c r="L72" s="339">
        <v>10077</v>
      </c>
      <c r="M72" s="339">
        <v>9751</v>
      </c>
      <c r="N72" s="39"/>
      <c r="O72" s="39"/>
      <c r="P72" s="39"/>
    </row>
    <row r="73" spans="2:16" ht="15" thickBot="1">
      <c r="B73" s="334" t="s">
        <v>583</v>
      </c>
      <c r="C73" s="1388">
        <v>23875</v>
      </c>
      <c r="D73" s="341">
        <v>23276</v>
      </c>
      <c r="E73" s="341">
        <v>20842</v>
      </c>
      <c r="F73" s="341">
        <v>18144</v>
      </c>
      <c r="G73" s="341">
        <v>7572</v>
      </c>
      <c r="H73" s="341">
        <v>9464</v>
      </c>
      <c r="I73" s="341">
        <v>6997</v>
      </c>
      <c r="J73" s="342">
        <v>5292</v>
      </c>
      <c r="K73" s="342">
        <v>5885</v>
      </c>
      <c r="L73" s="342">
        <v>3524</v>
      </c>
      <c r="M73" s="342">
        <v>3315</v>
      </c>
      <c r="N73" s="39"/>
      <c r="O73" s="39"/>
      <c r="P73" s="39"/>
    </row>
    <row r="74" spans="2:16" ht="15" thickBot="1">
      <c r="B74" s="351" t="s">
        <v>584</v>
      </c>
      <c r="C74" s="1389">
        <v>1</v>
      </c>
      <c r="D74" s="154">
        <v>0</v>
      </c>
      <c r="E74" s="352">
        <v>1</v>
      </c>
      <c r="F74" s="352">
        <v>1</v>
      </c>
      <c r="G74" s="352">
        <v>46</v>
      </c>
      <c r="H74" s="353">
        <v>88</v>
      </c>
      <c r="I74" s="353">
        <v>131</v>
      </c>
      <c r="J74" s="354">
        <v>82</v>
      </c>
      <c r="K74" s="354">
        <v>151</v>
      </c>
      <c r="L74" s="354">
        <v>0</v>
      </c>
      <c r="M74" s="355">
        <v>5</v>
      </c>
      <c r="N74" s="39"/>
      <c r="O74" s="102"/>
      <c r="P74" s="102"/>
    </row>
    <row r="75" spans="2:16" ht="15" thickBot="1">
      <c r="B75" s="347" t="s">
        <v>52</v>
      </c>
      <c r="C75" s="356">
        <f>C74+C73+C72+C71</f>
        <v>47025</v>
      </c>
      <c r="D75" s="356">
        <f>D74+D73+D72+D71</f>
        <v>48989</v>
      </c>
      <c r="E75" s="356">
        <f>E74+E73+E72+E71</f>
        <v>45407</v>
      </c>
      <c r="F75" s="356">
        <v>63898</v>
      </c>
      <c r="G75" s="356">
        <v>31621</v>
      </c>
      <c r="H75" s="356">
        <v>32237</v>
      </c>
      <c r="I75" s="356">
        <v>29747</v>
      </c>
      <c r="J75" s="356">
        <v>27806</v>
      </c>
      <c r="K75" s="356">
        <v>27445</v>
      </c>
      <c r="L75" s="356">
        <v>23255</v>
      </c>
      <c r="M75" s="356">
        <v>22908</v>
      </c>
      <c r="N75" s="207"/>
      <c r="O75" s="207"/>
      <c r="P75" s="207"/>
    </row>
    <row r="76" spans="2:16">
      <c r="B76" s="348" t="s">
        <v>2018</v>
      </c>
      <c r="C76" s="72"/>
      <c r="D76" s="72"/>
      <c r="E76" s="72"/>
      <c r="F76" s="72"/>
    </row>
    <row r="77" spans="2:16">
      <c r="C77" s="224"/>
      <c r="D77" s="224"/>
      <c r="E77" s="224"/>
      <c r="F77" s="224"/>
      <c r="G77" s="224"/>
      <c r="H77" s="224"/>
      <c r="I77" s="224"/>
      <c r="J77" s="224"/>
      <c r="K77" s="224"/>
      <c r="L77" s="224"/>
      <c r="M77" s="224"/>
      <c r="N77" s="224"/>
      <c r="O77" s="224"/>
    </row>
    <row r="78" spans="2:16">
      <c r="B78" s="81" t="s">
        <v>581</v>
      </c>
    </row>
    <row r="79" spans="2:16">
      <c r="B79" s="290" t="s">
        <v>732</v>
      </c>
    </row>
    <row r="80" spans="2:16" ht="15" thickBot="1">
      <c r="B80" s="312"/>
      <c r="C80" s="298">
        <v>2024</v>
      </c>
      <c r="D80" s="298">
        <v>2023</v>
      </c>
      <c r="E80" s="298">
        <v>2022</v>
      </c>
      <c r="F80" s="298">
        <v>2021</v>
      </c>
      <c r="G80" s="298">
        <v>2020</v>
      </c>
      <c r="H80" s="298">
        <v>2019</v>
      </c>
      <c r="I80" s="298">
        <v>2018</v>
      </c>
      <c r="J80" s="298">
        <v>2017</v>
      </c>
      <c r="K80" s="298">
        <v>2016</v>
      </c>
      <c r="L80" s="298">
        <v>2015</v>
      </c>
      <c r="M80" s="298">
        <v>2014</v>
      </c>
      <c r="N80" s="56"/>
      <c r="O80" s="56"/>
      <c r="P80" s="56"/>
    </row>
    <row r="81" spans="2:23" ht="15" thickBot="1">
      <c r="B81" s="340" t="s">
        <v>585</v>
      </c>
      <c r="C81" s="1147">
        <v>8381</v>
      </c>
      <c r="D81" s="335">
        <v>6697</v>
      </c>
      <c r="E81" s="335">
        <v>5627</v>
      </c>
      <c r="F81" s="335">
        <v>4604</v>
      </c>
      <c r="G81" s="335">
        <v>3715</v>
      </c>
      <c r="H81" s="335">
        <v>3539</v>
      </c>
      <c r="I81" s="336">
        <v>2890</v>
      </c>
      <c r="J81" s="336">
        <v>3305</v>
      </c>
      <c r="K81" s="336">
        <v>4579</v>
      </c>
      <c r="L81" s="336">
        <v>3724</v>
      </c>
      <c r="M81" s="336">
        <v>3465</v>
      </c>
      <c r="N81" s="336"/>
      <c r="O81" s="39"/>
      <c r="P81" s="39"/>
    </row>
    <row r="82" spans="2:23" ht="15" thickBot="1">
      <c r="B82" s="351" t="s">
        <v>584</v>
      </c>
      <c r="C82" s="953">
        <v>4711</v>
      </c>
      <c r="D82" s="154">
        <v>4285</v>
      </c>
      <c r="E82" s="338">
        <v>2737</v>
      </c>
      <c r="F82" s="338">
        <v>2123</v>
      </c>
      <c r="G82" s="338">
        <v>1630</v>
      </c>
      <c r="H82" s="338">
        <v>1799</v>
      </c>
      <c r="I82" s="339">
        <v>1612</v>
      </c>
      <c r="J82" s="339">
        <v>1308</v>
      </c>
      <c r="K82" s="339">
        <v>810</v>
      </c>
      <c r="L82" s="339">
        <v>923</v>
      </c>
      <c r="M82" s="339">
        <v>845</v>
      </c>
      <c r="N82" s="339"/>
      <c r="O82" s="39"/>
      <c r="P82" s="39"/>
    </row>
    <row r="83" spans="2:23" ht="15" thickBot="1">
      <c r="B83" s="337" t="s">
        <v>733</v>
      </c>
      <c r="C83" s="1161">
        <v>335</v>
      </c>
      <c r="D83" s="341">
        <v>297</v>
      </c>
      <c r="E83" s="341">
        <v>373</v>
      </c>
      <c r="F83" s="341">
        <v>260</v>
      </c>
      <c r="G83" s="341">
        <v>230</v>
      </c>
      <c r="H83" s="341">
        <v>303</v>
      </c>
      <c r="I83" s="342">
        <v>218</v>
      </c>
      <c r="J83" s="342">
        <v>211</v>
      </c>
      <c r="K83" s="342">
        <v>155</v>
      </c>
      <c r="L83" s="342">
        <v>162</v>
      </c>
      <c r="M83" s="342">
        <v>142</v>
      </c>
      <c r="N83" s="342"/>
      <c r="O83" s="39"/>
      <c r="P83" s="39"/>
    </row>
    <row r="84" spans="2:23" ht="15" thickBot="1">
      <c r="B84" s="334" t="s">
        <v>583</v>
      </c>
      <c r="C84" s="194">
        <v>143</v>
      </c>
      <c r="D84" s="117">
        <v>301</v>
      </c>
      <c r="E84" s="359">
        <v>404</v>
      </c>
      <c r="F84" s="359">
        <v>205</v>
      </c>
      <c r="G84" s="359">
        <v>147</v>
      </c>
      <c r="H84" s="359">
        <v>186</v>
      </c>
      <c r="I84" s="360">
        <v>61</v>
      </c>
      <c r="J84" s="360">
        <v>116</v>
      </c>
      <c r="K84" s="360">
        <v>55</v>
      </c>
      <c r="L84" s="360">
        <v>60</v>
      </c>
      <c r="M84" s="360">
        <v>63</v>
      </c>
      <c r="N84" s="360"/>
      <c r="O84" s="121"/>
      <c r="P84" s="121"/>
    </row>
    <row r="85" spans="2:23">
      <c r="B85" s="347" t="s">
        <v>52</v>
      </c>
      <c r="C85" s="357">
        <f>C84+C83+C82+C81</f>
        <v>13570</v>
      </c>
      <c r="D85" s="357">
        <f>D84+D83+D82+D81</f>
        <v>11580</v>
      </c>
      <c r="E85" s="357">
        <f>E84+E83+E82+E81</f>
        <v>9141</v>
      </c>
      <c r="F85" s="357">
        <v>7192</v>
      </c>
      <c r="G85" s="357">
        <v>5722</v>
      </c>
      <c r="H85" s="357">
        <v>5827</v>
      </c>
      <c r="I85" s="357">
        <v>4781</v>
      </c>
      <c r="J85" s="357">
        <v>4940</v>
      </c>
      <c r="K85" s="357">
        <v>5599</v>
      </c>
      <c r="L85" s="357">
        <v>4869</v>
      </c>
      <c r="M85" s="357">
        <v>4515</v>
      </c>
      <c r="N85" s="1162"/>
      <c r="O85" s="207"/>
      <c r="P85" s="207"/>
    </row>
    <row r="86" spans="2:23">
      <c r="B86" s="348" t="s">
        <v>2018</v>
      </c>
      <c r="C86" s="182"/>
      <c r="D86" s="182"/>
      <c r="E86" s="182"/>
      <c r="F86" s="182"/>
      <c r="G86" s="182"/>
      <c r="H86" s="182"/>
      <c r="I86" s="182"/>
      <c r="J86" s="349"/>
      <c r="K86" s="182"/>
      <c r="L86" s="182"/>
      <c r="M86" s="182"/>
    </row>
    <row r="87" spans="2:23">
      <c r="C87" s="350"/>
      <c r="D87" s="350"/>
      <c r="E87" s="350"/>
      <c r="F87" s="350"/>
      <c r="G87" s="350"/>
      <c r="H87" s="350"/>
      <c r="I87" s="350"/>
      <c r="J87" s="350"/>
      <c r="K87" s="350"/>
      <c r="L87" s="350"/>
      <c r="M87" s="350"/>
      <c r="N87" s="350"/>
    </row>
    <row r="90" spans="2:23">
      <c r="V90" s="56"/>
    </row>
    <row r="91" spans="2:23">
      <c r="V91" s="56"/>
    </row>
    <row r="92" spans="2:23">
      <c r="V92" s="56"/>
    </row>
    <row r="93" spans="2:23" ht="15" thickBot="1">
      <c r="K93" s="298">
        <v>2024</v>
      </c>
      <c r="L93" s="298">
        <v>2023</v>
      </c>
      <c r="M93" s="298">
        <v>2022</v>
      </c>
      <c r="N93" s="298">
        <v>2021</v>
      </c>
      <c r="O93" s="298">
        <v>2020</v>
      </c>
      <c r="P93" s="298">
        <v>2019</v>
      </c>
      <c r="Q93" s="298">
        <v>2018</v>
      </c>
      <c r="R93" s="298">
        <v>2017</v>
      </c>
      <c r="S93" s="298">
        <v>2016</v>
      </c>
      <c r="T93" s="298">
        <v>2015</v>
      </c>
      <c r="U93" s="298">
        <v>2014</v>
      </c>
      <c r="V93" s="56"/>
      <c r="W93" s="56"/>
    </row>
    <row r="94" spans="2:23" ht="15" thickBot="1">
      <c r="J94" t="s">
        <v>1672</v>
      </c>
      <c r="K94" s="341">
        <v>32176</v>
      </c>
      <c r="L94" s="341">
        <v>30234</v>
      </c>
      <c r="M94" s="341">
        <v>29332</v>
      </c>
      <c r="N94">
        <v>22675</v>
      </c>
      <c r="O94">
        <v>15244</v>
      </c>
      <c r="P94">
        <v>18302</v>
      </c>
      <c r="Q94">
        <v>17120</v>
      </c>
      <c r="R94">
        <v>16236</v>
      </c>
      <c r="S94">
        <v>15923</v>
      </c>
      <c r="T94">
        <v>12239</v>
      </c>
      <c r="U94">
        <v>9874</v>
      </c>
    </row>
    <row r="95" spans="2:23" ht="15" thickBot="1">
      <c r="J95" t="s">
        <v>1673</v>
      </c>
      <c r="K95" s="341">
        <v>23875</v>
      </c>
      <c r="L95" s="341">
        <v>23276</v>
      </c>
      <c r="M95" s="341">
        <v>20842</v>
      </c>
      <c r="N95">
        <v>18144</v>
      </c>
      <c r="O95">
        <v>7572</v>
      </c>
      <c r="P95">
        <v>9464</v>
      </c>
      <c r="Q95">
        <v>6997</v>
      </c>
      <c r="R95">
        <v>5292</v>
      </c>
      <c r="S95">
        <v>5885</v>
      </c>
      <c r="T95">
        <v>3524</v>
      </c>
      <c r="U95">
        <v>3315</v>
      </c>
    </row>
    <row r="96" spans="2:23">
      <c r="V96" s="56"/>
    </row>
    <row r="97" spans="2:22">
      <c r="V97" s="56"/>
    </row>
    <row r="98" spans="2:22">
      <c r="V98" s="56"/>
    </row>
    <row r="99" spans="2:22">
      <c r="V99" s="56"/>
    </row>
    <row r="100" spans="2:22">
      <c r="V100" s="56"/>
    </row>
    <row r="101" spans="2:22">
      <c r="N101" s="56"/>
    </row>
    <row r="102" spans="2:22">
      <c r="N102" s="56"/>
    </row>
    <row r="103" spans="2:22">
      <c r="N103" s="56"/>
    </row>
    <row r="104" spans="2:22">
      <c r="N104" s="56"/>
    </row>
    <row r="105" spans="2:22">
      <c r="N105" s="56"/>
    </row>
    <row r="106" spans="2:22">
      <c r="N106" s="56"/>
    </row>
    <row r="107" spans="2:22">
      <c r="N107" s="56"/>
    </row>
    <row r="108" spans="2:22">
      <c r="N108" s="56"/>
    </row>
    <row r="109" spans="2:22">
      <c r="N109" s="56"/>
    </row>
    <row r="110" spans="2:22">
      <c r="N110" s="56"/>
    </row>
    <row r="111" spans="2:22">
      <c r="N111" s="56"/>
    </row>
    <row r="112" spans="2:22">
      <c r="B112" s="348" t="s">
        <v>2018</v>
      </c>
    </row>
    <row r="115" spans="2:16" ht="15.6">
      <c r="B115" s="83" t="s">
        <v>587</v>
      </c>
    </row>
    <row r="116" spans="2:16">
      <c r="B116" s="1" t="s">
        <v>735</v>
      </c>
    </row>
    <row r="117" spans="2:16">
      <c r="B117" s="361" t="s">
        <v>590</v>
      </c>
      <c r="C117" s="364">
        <v>2024</v>
      </c>
      <c r="D117" s="364">
        <v>2023</v>
      </c>
      <c r="E117" s="298">
        <v>2022</v>
      </c>
      <c r="F117" s="298">
        <v>2021</v>
      </c>
      <c r="G117" s="298">
        <v>2020</v>
      </c>
      <c r="H117" s="298">
        <v>2019</v>
      </c>
      <c r="I117" s="298">
        <v>2018</v>
      </c>
      <c r="J117" s="298">
        <v>2017</v>
      </c>
      <c r="K117" s="298">
        <v>2016</v>
      </c>
      <c r="L117" s="298">
        <v>2015</v>
      </c>
      <c r="M117" s="298">
        <v>2014</v>
      </c>
      <c r="N117" s="56"/>
      <c r="O117" s="56"/>
    </row>
    <row r="118" spans="2:16" ht="15" thickBot="1">
      <c r="B118" s="95" t="s">
        <v>1620</v>
      </c>
      <c r="C118" s="1143">
        <v>21733</v>
      </c>
      <c r="D118" s="1140">
        <v>20094</v>
      </c>
      <c r="E118" s="46">
        <v>19417</v>
      </c>
      <c r="F118" s="335">
        <v>16357</v>
      </c>
      <c r="G118" s="46">
        <v>12659</v>
      </c>
      <c r="H118" s="46">
        <v>13172</v>
      </c>
      <c r="I118" s="46">
        <v>12365</v>
      </c>
      <c r="J118" s="46">
        <v>11399</v>
      </c>
      <c r="K118" s="46">
        <v>11730</v>
      </c>
      <c r="L118" s="46">
        <v>10451</v>
      </c>
      <c r="M118" s="46">
        <v>8400</v>
      </c>
      <c r="N118" s="121"/>
      <c r="O118" s="121"/>
      <c r="P118" s="139"/>
    </row>
    <row r="119" spans="2:16" ht="15" thickBot="1">
      <c r="B119" s="95" t="s">
        <v>1625</v>
      </c>
      <c r="C119" s="1143">
        <v>8034</v>
      </c>
      <c r="D119" s="1140">
        <v>8292</v>
      </c>
      <c r="E119" s="46">
        <v>7928</v>
      </c>
      <c r="F119" s="338">
        <v>5015</v>
      </c>
      <c r="G119" s="46">
        <v>1818</v>
      </c>
      <c r="H119" s="46">
        <v>3582</v>
      </c>
      <c r="I119" s="46">
        <v>3605</v>
      </c>
      <c r="J119" s="46">
        <v>3480</v>
      </c>
      <c r="K119" s="46">
        <v>3241</v>
      </c>
      <c r="L119" s="46">
        <v>1035</v>
      </c>
      <c r="M119" s="46">
        <v>838</v>
      </c>
      <c r="N119" s="121"/>
      <c r="O119" s="121"/>
      <c r="P119" s="121"/>
    </row>
    <row r="120" spans="2:16" ht="15" thickBot="1">
      <c r="B120" s="95" t="s">
        <v>1624</v>
      </c>
      <c r="C120" s="1143">
        <v>2039</v>
      </c>
      <c r="D120" s="1140">
        <v>1457</v>
      </c>
      <c r="E120" s="46">
        <v>1375</v>
      </c>
      <c r="F120" s="341">
        <v>879</v>
      </c>
      <c r="G120" s="46">
        <v>334</v>
      </c>
      <c r="H120" s="46">
        <v>851</v>
      </c>
      <c r="I120" s="46">
        <v>498</v>
      </c>
      <c r="J120" s="46">
        <v>602</v>
      </c>
      <c r="K120" s="46">
        <v>289</v>
      </c>
      <c r="L120" s="46">
        <v>148</v>
      </c>
      <c r="M120" s="46">
        <v>124</v>
      </c>
      <c r="N120" s="121"/>
      <c r="O120" s="121"/>
      <c r="P120" s="121"/>
    </row>
    <row r="121" spans="2:16" ht="15" thickBot="1">
      <c r="B121" s="95" t="s">
        <v>36</v>
      </c>
      <c r="C121" s="1143">
        <v>188</v>
      </c>
      <c r="D121" s="1140">
        <v>171</v>
      </c>
      <c r="E121" s="46">
        <v>216</v>
      </c>
      <c r="F121" s="352">
        <v>181</v>
      </c>
      <c r="G121" s="46">
        <v>131</v>
      </c>
      <c r="H121" s="46">
        <v>280</v>
      </c>
      <c r="I121" s="46">
        <v>350</v>
      </c>
      <c r="J121" s="46">
        <v>374</v>
      </c>
      <c r="K121" s="46">
        <v>309</v>
      </c>
      <c r="L121" s="46">
        <v>260</v>
      </c>
      <c r="M121" s="46">
        <v>199</v>
      </c>
      <c r="N121" s="121"/>
      <c r="O121" s="121"/>
    </row>
    <row r="122" spans="2:16" ht="15" thickBot="1">
      <c r="B122" s="95" t="s">
        <v>1674</v>
      </c>
      <c r="C122" s="1145">
        <v>9</v>
      </c>
      <c r="D122" s="1168" t="s">
        <v>59</v>
      </c>
      <c r="E122" s="46">
        <v>28</v>
      </c>
      <c r="F122" s="335">
        <v>72</v>
      </c>
      <c r="G122" s="46">
        <v>89</v>
      </c>
      <c r="H122" s="46">
        <v>199</v>
      </c>
      <c r="I122" s="46">
        <v>209</v>
      </c>
      <c r="J122" s="46">
        <v>297</v>
      </c>
      <c r="K122" s="46">
        <v>282</v>
      </c>
      <c r="L122" s="46">
        <v>277</v>
      </c>
      <c r="M122" s="46">
        <v>190</v>
      </c>
      <c r="N122" s="121"/>
      <c r="O122" s="121"/>
      <c r="P122" s="121"/>
    </row>
    <row r="123" spans="2:16" ht="15" thickBot="1">
      <c r="B123" s="95" t="s">
        <v>13</v>
      </c>
      <c r="C123" s="1143">
        <v>15</v>
      </c>
      <c r="D123" s="1140">
        <v>47</v>
      </c>
      <c r="E123" s="46">
        <v>103</v>
      </c>
      <c r="F123" s="338">
        <v>64</v>
      </c>
      <c r="G123" s="46">
        <v>74</v>
      </c>
      <c r="H123" s="46">
        <v>88</v>
      </c>
      <c r="I123" s="46">
        <v>59</v>
      </c>
      <c r="J123" s="46">
        <v>50</v>
      </c>
      <c r="K123" s="46">
        <v>28</v>
      </c>
      <c r="L123" s="46">
        <v>40</v>
      </c>
      <c r="M123" s="46">
        <v>99</v>
      </c>
      <c r="N123" s="121"/>
      <c r="O123" s="121"/>
      <c r="P123" s="121"/>
    </row>
    <row r="124" spans="2:16" ht="15" thickBot="1">
      <c r="B124" s="95" t="s">
        <v>38</v>
      </c>
      <c r="C124" s="1143">
        <v>112</v>
      </c>
      <c r="D124" s="1140">
        <v>104</v>
      </c>
      <c r="E124" s="62">
        <v>240</v>
      </c>
      <c r="F124" s="1105">
        <v>48</v>
      </c>
      <c r="G124" s="62">
        <v>34</v>
      </c>
      <c r="H124" s="62">
        <v>0</v>
      </c>
      <c r="I124" s="62">
        <v>0</v>
      </c>
      <c r="J124" s="62">
        <v>0</v>
      </c>
      <c r="K124" s="62">
        <v>0</v>
      </c>
      <c r="L124" s="62">
        <v>0</v>
      </c>
      <c r="M124" s="62">
        <v>0</v>
      </c>
      <c r="N124" s="103"/>
      <c r="O124" s="103"/>
    </row>
    <row r="125" spans="2:16" ht="15" thickBot="1">
      <c r="B125" s="95" t="s">
        <v>30</v>
      </c>
      <c r="C125" s="1143">
        <v>25</v>
      </c>
      <c r="D125" s="1140">
        <v>49</v>
      </c>
      <c r="E125" s="62">
        <v>8</v>
      </c>
      <c r="F125" s="1105">
        <v>32</v>
      </c>
      <c r="G125" s="62">
        <v>41</v>
      </c>
      <c r="H125" s="62">
        <v>56</v>
      </c>
      <c r="I125" s="62">
        <v>0</v>
      </c>
      <c r="J125" s="62">
        <v>0</v>
      </c>
      <c r="K125" s="62">
        <v>0</v>
      </c>
      <c r="L125" s="62">
        <v>0</v>
      </c>
      <c r="M125" s="62">
        <v>0</v>
      </c>
      <c r="N125" s="103"/>
      <c r="O125" s="103"/>
      <c r="P125" s="121"/>
    </row>
    <row r="126" spans="2:16" ht="15" thickBot="1">
      <c r="B126" s="95" t="s">
        <v>26</v>
      </c>
      <c r="C126" s="1145" t="s">
        <v>59</v>
      </c>
      <c r="D126" s="1140">
        <v>9</v>
      </c>
      <c r="E126" s="62" t="s">
        <v>59</v>
      </c>
      <c r="F126" s="1106">
        <v>10</v>
      </c>
      <c r="G126" s="62">
        <v>5</v>
      </c>
      <c r="H126" s="62">
        <v>34</v>
      </c>
      <c r="I126" s="62">
        <v>4</v>
      </c>
      <c r="J126" s="62">
        <v>0</v>
      </c>
      <c r="K126" s="62">
        <v>0</v>
      </c>
      <c r="L126" s="62">
        <v>0</v>
      </c>
      <c r="M126" s="62">
        <v>0</v>
      </c>
      <c r="N126" s="103"/>
      <c r="O126" s="103"/>
      <c r="P126" s="285"/>
    </row>
    <row r="127" spans="2:16" ht="15" thickBot="1">
      <c r="B127" s="95" t="s">
        <v>327</v>
      </c>
      <c r="C127" s="1143">
        <v>1</v>
      </c>
      <c r="D127" s="1140">
        <v>2</v>
      </c>
      <c r="E127" s="62">
        <v>2</v>
      </c>
      <c r="F127" s="1107">
        <v>6</v>
      </c>
      <c r="G127" s="62">
        <v>2</v>
      </c>
      <c r="H127" s="62">
        <v>0</v>
      </c>
      <c r="I127" s="62">
        <v>0</v>
      </c>
      <c r="J127" s="62">
        <v>0</v>
      </c>
      <c r="K127" s="62">
        <v>0</v>
      </c>
      <c r="L127" s="62">
        <v>0</v>
      </c>
      <c r="M127" s="62">
        <v>0</v>
      </c>
      <c r="N127" s="103"/>
      <c r="O127" s="103"/>
      <c r="P127" s="139"/>
    </row>
    <row r="128" spans="2:16" ht="15" thickBot="1">
      <c r="B128" s="95" t="s">
        <v>32</v>
      </c>
      <c r="C128" s="1145">
        <v>9</v>
      </c>
      <c r="D128" s="1168" t="s">
        <v>59</v>
      </c>
      <c r="E128" s="62">
        <v>13</v>
      </c>
      <c r="F128" s="1105">
        <v>5</v>
      </c>
      <c r="G128" s="62">
        <v>59</v>
      </c>
      <c r="H128" s="62">
        <v>24</v>
      </c>
      <c r="I128" s="62">
        <v>21</v>
      </c>
      <c r="J128" s="62">
        <v>26</v>
      </c>
      <c r="K128" s="62">
        <v>31</v>
      </c>
      <c r="L128" s="62">
        <v>20</v>
      </c>
      <c r="M128" s="62">
        <v>21</v>
      </c>
      <c r="N128" s="103"/>
      <c r="O128" s="103"/>
      <c r="P128" s="285"/>
    </row>
    <row r="129" spans="2:16">
      <c r="B129" s="117" t="s">
        <v>129</v>
      </c>
      <c r="C129" s="945">
        <v>11</v>
      </c>
      <c r="D129" s="225">
        <f>D130-D127-D125-D124-D123-D121-D120-D119-D118</f>
        <v>9</v>
      </c>
      <c r="E129" s="225">
        <f>E130-E128-E127-E125-E124-E123-E122-E121-E120-E119-E118</f>
        <v>2</v>
      </c>
      <c r="F129" s="225">
        <v>6</v>
      </c>
      <c r="G129" s="225">
        <v>0</v>
      </c>
      <c r="H129" s="225">
        <v>16</v>
      </c>
      <c r="I129" s="225">
        <v>9</v>
      </c>
      <c r="J129" s="225">
        <v>8</v>
      </c>
      <c r="K129" s="225">
        <v>13</v>
      </c>
      <c r="L129" s="225">
        <v>8</v>
      </c>
      <c r="M129" s="225">
        <v>3</v>
      </c>
      <c r="N129" s="225"/>
      <c r="O129" s="225"/>
      <c r="P129" s="285"/>
    </row>
    <row r="130" spans="2:16">
      <c r="B130" s="312" t="s">
        <v>52</v>
      </c>
      <c r="C130" s="1164">
        <v>32176</v>
      </c>
      <c r="D130" s="1164">
        <v>30225</v>
      </c>
      <c r="E130" s="362">
        <v>29332</v>
      </c>
      <c r="F130" s="362">
        <v>22675</v>
      </c>
      <c r="G130" s="362">
        <v>15244</v>
      </c>
      <c r="H130" s="362">
        <v>18302</v>
      </c>
      <c r="I130" s="362">
        <v>17120</v>
      </c>
      <c r="J130" s="362">
        <v>16236</v>
      </c>
      <c r="K130" s="362">
        <v>15923</v>
      </c>
      <c r="L130" s="362">
        <v>12239</v>
      </c>
      <c r="M130" s="362">
        <v>9874</v>
      </c>
      <c r="N130" s="122"/>
      <c r="O130" s="122"/>
    </row>
    <row r="131" spans="2:16">
      <c r="B131" s="348" t="s">
        <v>2018</v>
      </c>
      <c r="C131" s="139"/>
    </row>
    <row r="134" spans="2:16" ht="15.6">
      <c r="B134" s="83" t="s">
        <v>740</v>
      </c>
    </row>
    <row r="135" spans="2:16">
      <c r="B135" s="1" t="s">
        <v>735</v>
      </c>
    </row>
    <row r="136" spans="2:16">
      <c r="B136" s="361"/>
      <c r="C136" s="298">
        <v>2024</v>
      </c>
      <c r="D136" s="298">
        <v>2023</v>
      </c>
      <c r="E136" s="298">
        <v>2022</v>
      </c>
      <c r="F136" s="298">
        <v>2021</v>
      </c>
      <c r="G136" s="298">
        <v>2020</v>
      </c>
      <c r="H136" s="298">
        <v>2019</v>
      </c>
      <c r="I136" s="298">
        <v>2018</v>
      </c>
      <c r="J136" s="298">
        <v>2017</v>
      </c>
      <c r="K136" s="298">
        <v>2016</v>
      </c>
      <c r="L136" s="298">
        <v>2015</v>
      </c>
      <c r="M136" s="298">
        <v>2014</v>
      </c>
      <c r="N136" s="56"/>
      <c r="O136" s="56"/>
    </row>
    <row r="137" spans="2:16" ht="15" thickBot="1">
      <c r="B137" s="95" t="s">
        <v>113</v>
      </c>
      <c r="C137" s="1143">
        <v>20109</v>
      </c>
      <c r="D137" s="1140">
        <v>16383</v>
      </c>
      <c r="E137" s="1165">
        <v>15751</v>
      </c>
      <c r="F137" s="1103">
        <v>15091</v>
      </c>
      <c r="G137" s="62">
        <v>10834</v>
      </c>
      <c r="H137" s="62">
        <v>12741</v>
      </c>
      <c r="I137" s="62">
        <v>11345</v>
      </c>
      <c r="J137" s="62">
        <v>9497</v>
      </c>
      <c r="K137" s="62">
        <v>10263</v>
      </c>
      <c r="L137" s="62">
        <v>8768</v>
      </c>
      <c r="M137" s="62">
        <v>7002</v>
      </c>
      <c r="N137" s="103"/>
      <c r="O137" s="103"/>
    </row>
    <row r="138" spans="2:16" ht="15" thickBot="1">
      <c r="B138" s="95" t="s">
        <v>114</v>
      </c>
      <c r="C138" s="1143">
        <v>2027</v>
      </c>
      <c r="D138" s="1140">
        <v>2057</v>
      </c>
      <c r="E138" s="1165">
        <v>2290</v>
      </c>
      <c r="F138" s="1103">
        <v>1549</v>
      </c>
      <c r="G138" s="62">
        <v>1106</v>
      </c>
      <c r="H138" s="62">
        <v>1183</v>
      </c>
      <c r="I138" s="62">
        <v>813</v>
      </c>
      <c r="J138" s="62">
        <v>767</v>
      </c>
      <c r="K138" s="62">
        <v>659</v>
      </c>
      <c r="L138" s="62">
        <v>520</v>
      </c>
      <c r="M138" s="62">
        <v>551</v>
      </c>
      <c r="N138" s="103"/>
      <c r="O138" s="103"/>
    </row>
    <row r="139" spans="2:16" ht="15" thickBot="1">
      <c r="B139" s="95" t="s">
        <v>117</v>
      </c>
      <c r="C139" s="1143">
        <v>654</v>
      </c>
      <c r="D139" s="1140">
        <v>710</v>
      </c>
      <c r="E139" s="1165">
        <v>700</v>
      </c>
      <c r="F139" s="1103">
        <v>388</v>
      </c>
      <c r="G139" s="62">
        <v>162</v>
      </c>
      <c r="H139" s="62">
        <v>370</v>
      </c>
      <c r="I139" s="62">
        <v>437</v>
      </c>
      <c r="J139" s="62">
        <v>389</v>
      </c>
      <c r="K139" s="62">
        <v>382</v>
      </c>
      <c r="L139" s="62">
        <v>104</v>
      </c>
      <c r="M139" s="62">
        <v>70</v>
      </c>
      <c r="N139" s="103"/>
      <c r="O139" s="103"/>
    </row>
    <row r="140" spans="2:16" ht="15" thickBot="1">
      <c r="B140" s="95" t="s">
        <v>115</v>
      </c>
      <c r="C140" s="1143">
        <v>7</v>
      </c>
      <c r="D140" s="1140">
        <v>15</v>
      </c>
      <c r="E140" s="1165">
        <v>15</v>
      </c>
      <c r="F140" s="1103">
        <v>19</v>
      </c>
      <c r="G140" s="62">
        <v>6</v>
      </c>
      <c r="H140" s="62">
        <v>21</v>
      </c>
      <c r="I140" s="62">
        <v>8</v>
      </c>
      <c r="J140" s="62">
        <v>1</v>
      </c>
      <c r="K140" s="62">
        <v>8</v>
      </c>
      <c r="L140" s="62">
        <v>5</v>
      </c>
      <c r="M140" s="62">
        <v>5</v>
      </c>
      <c r="N140" s="103"/>
      <c r="O140" s="103"/>
    </row>
    <row r="141" spans="2:16" ht="15" thickBot="1">
      <c r="B141" s="95" t="s">
        <v>120</v>
      </c>
      <c r="C141" s="1145" t="s">
        <v>59</v>
      </c>
      <c r="D141" s="1140">
        <v>3</v>
      </c>
      <c r="E141" s="1165">
        <v>0</v>
      </c>
      <c r="F141" s="1103">
        <v>0</v>
      </c>
      <c r="G141" s="62">
        <v>0</v>
      </c>
      <c r="H141" s="62">
        <v>2</v>
      </c>
      <c r="I141" s="62">
        <v>0</v>
      </c>
      <c r="J141" s="62">
        <v>1</v>
      </c>
      <c r="K141" s="62">
        <v>1</v>
      </c>
      <c r="L141" s="62">
        <v>1</v>
      </c>
      <c r="M141" s="62">
        <v>2</v>
      </c>
      <c r="N141" s="103"/>
      <c r="O141" s="103"/>
    </row>
    <row r="142" spans="2:16" ht="15" thickBot="1">
      <c r="B142" s="95" t="s">
        <v>689</v>
      </c>
      <c r="C142" s="1143">
        <v>5374</v>
      </c>
      <c r="D142" s="1140">
        <v>5782</v>
      </c>
      <c r="E142" s="1165">
        <v>6387</v>
      </c>
      <c r="F142" s="1103">
        <v>4357</v>
      </c>
      <c r="G142" s="62">
        <v>2817</v>
      </c>
      <c r="H142" s="62">
        <v>3543</v>
      </c>
      <c r="I142" s="62">
        <v>3893</v>
      </c>
      <c r="J142" s="62">
        <v>3911</v>
      </c>
      <c r="K142" s="62">
        <v>3790</v>
      </c>
      <c r="L142" s="62">
        <v>2542</v>
      </c>
      <c r="M142" s="62">
        <v>2188</v>
      </c>
      <c r="N142" s="103"/>
      <c r="O142" s="103"/>
    </row>
    <row r="143" spans="2:16">
      <c r="B143" s="129" t="s">
        <v>1675</v>
      </c>
      <c r="C143" s="1166">
        <v>4003</v>
      </c>
      <c r="D143" s="1266">
        <v>5284</v>
      </c>
      <c r="E143" s="1167">
        <v>4188</v>
      </c>
      <c r="F143" s="1104">
        <v>1271</v>
      </c>
      <c r="G143" s="136">
        <v>321</v>
      </c>
      <c r="H143" s="136">
        <v>444</v>
      </c>
      <c r="I143" s="136">
        <v>623</v>
      </c>
      <c r="J143" s="136">
        <v>1670</v>
      </c>
      <c r="K143" s="136">
        <v>820</v>
      </c>
      <c r="L143" s="136">
        <v>299</v>
      </c>
      <c r="M143" s="136">
        <v>58</v>
      </c>
      <c r="N143" s="103"/>
      <c r="O143" s="103"/>
    </row>
    <row r="144" spans="2:16">
      <c r="B144" s="312" t="s">
        <v>3</v>
      </c>
      <c r="C144" s="312">
        <v>32174</v>
      </c>
      <c r="D144" s="312">
        <v>30234</v>
      </c>
      <c r="E144" s="362">
        <v>29332</v>
      </c>
      <c r="F144" s="362">
        <v>22675</v>
      </c>
      <c r="G144" s="362">
        <v>15244</v>
      </c>
      <c r="H144" s="362">
        <v>18302</v>
      </c>
      <c r="I144" s="362">
        <v>17120</v>
      </c>
      <c r="J144" s="362">
        <v>16236</v>
      </c>
      <c r="K144" s="362">
        <v>15923</v>
      </c>
      <c r="L144" s="362">
        <v>12239</v>
      </c>
      <c r="M144" s="362">
        <v>9874</v>
      </c>
      <c r="N144" s="122"/>
      <c r="O144" s="122"/>
    </row>
    <row r="145" spans="2:14">
      <c r="B145" s="348" t="s">
        <v>2018</v>
      </c>
      <c r="C145" s="139"/>
      <c r="D145" s="139"/>
      <c r="E145" s="139"/>
      <c r="L145" s="121"/>
      <c r="M145" s="121"/>
      <c r="N145" s="121"/>
    </row>
    <row r="148" spans="2:14" ht="15.6">
      <c r="B148" s="83" t="s">
        <v>587</v>
      </c>
    </row>
    <row r="149" spans="2:14">
      <c r="B149" s="1" t="s">
        <v>744</v>
      </c>
    </row>
    <row r="150" spans="2:14">
      <c r="B150" s="312" t="s">
        <v>590</v>
      </c>
      <c r="C150" s="298">
        <v>2024</v>
      </c>
      <c r="D150" s="298">
        <v>2023</v>
      </c>
      <c r="E150" s="298">
        <v>2022</v>
      </c>
      <c r="F150" s="298">
        <v>2021</v>
      </c>
      <c r="G150" s="298">
        <v>2020</v>
      </c>
      <c r="H150" s="298">
        <v>2019</v>
      </c>
      <c r="I150" s="298">
        <v>2018</v>
      </c>
      <c r="J150" s="298">
        <v>2017</v>
      </c>
      <c r="K150" s="298">
        <v>2016</v>
      </c>
      <c r="L150" s="298">
        <v>2015</v>
      </c>
      <c r="M150" s="298">
        <v>2014</v>
      </c>
      <c r="N150" s="56"/>
    </row>
    <row r="151" spans="2:14" ht="15" thickBot="1">
      <c r="B151" s="128" t="s">
        <v>1620</v>
      </c>
      <c r="C151" s="1143">
        <v>14863</v>
      </c>
      <c r="D151" s="1140">
        <v>11431</v>
      </c>
      <c r="E151" s="1168">
        <v>11219</v>
      </c>
      <c r="F151" s="62">
        <v>12057</v>
      </c>
      <c r="G151" s="62">
        <v>9556</v>
      </c>
      <c r="H151" s="62">
        <v>10165</v>
      </c>
      <c r="I151" s="62">
        <v>8915</v>
      </c>
      <c r="J151" s="62">
        <v>6885</v>
      </c>
      <c r="K151" s="62">
        <v>7978</v>
      </c>
      <c r="L151" s="62">
        <v>7635</v>
      </c>
      <c r="M151" s="62">
        <v>6091</v>
      </c>
      <c r="N151" s="103"/>
    </row>
    <row r="152" spans="2:14" ht="15" thickBot="1">
      <c r="B152" s="128" t="s">
        <v>1625</v>
      </c>
      <c r="C152" s="1143">
        <v>3602</v>
      </c>
      <c r="D152" s="1140">
        <v>3707</v>
      </c>
      <c r="E152" s="1168">
        <v>3469</v>
      </c>
      <c r="F152" s="62">
        <v>2186</v>
      </c>
      <c r="G152" s="62">
        <v>747</v>
      </c>
      <c r="H152" s="62">
        <v>1483</v>
      </c>
      <c r="I152" s="62">
        <v>1576</v>
      </c>
      <c r="J152" s="62">
        <v>1546</v>
      </c>
      <c r="K152" s="62">
        <v>1473</v>
      </c>
      <c r="L152" s="62">
        <v>468</v>
      </c>
      <c r="M152" s="62">
        <v>398</v>
      </c>
      <c r="N152" s="103"/>
    </row>
    <row r="153" spans="2:14" ht="15" thickBot="1">
      <c r="B153" s="128" t="s">
        <v>1624</v>
      </c>
      <c r="C153" s="1143">
        <v>1341</v>
      </c>
      <c r="D153" s="1140">
        <v>983</v>
      </c>
      <c r="E153" s="1168">
        <v>737</v>
      </c>
      <c r="F153" s="62">
        <v>553</v>
      </c>
      <c r="G153" s="62">
        <v>234</v>
      </c>
      <c r="H153" s="62">
        <v>615</v>
      </c>
      <c r="I153" s="62">
        <v>295</v>
      </c>
      <c r="J153" s="62">
        <v>395</v>
      </c>
      <c r="K153" s="62">
        <v>225</v>
      </c>
      <c r="L153" s="62">
        <v>122</v>
      </c>
      <c r="M153" s="62">
        <v>114</v>
      </c>
      <c r="N153" s="103"/>
    </row>
    <row r="154" spans="2:14" ht="15" thickBot="1">
      <c r="B154" s="128" t="s">
        <v>36</v>
      </c>
      <c r="C154" s="1143">
        <v>179</v>
      </c>
      <c r="D154" s="1140">
        <v>156</v>
      </c>
      <c r="E154" s="1168">
        <v>216</v>
      </c>
      <c r="F154" s="62">
        <v>181</v>
      </c>
      <c r="G154" s="62">
        <v>130</v>
      </c>
      <c r="H154" s="62">
        <v>278</v>
      </c>
      <c r="I154" s="62">
        <v>350</v>
      </c>
      <c r="J154" s="62">
        <v>374</v>
      </c>
      <c r="K154" s="62">
        <v>309</v>
      </c>
      <c r="L154" s="62">
        <v>260</v>
      </c>
      <c r="M154" s="62">
        <v>199</v>
      </c>
      <c r="N154" s="103"/>
    </row>
    <row r="155" spans="2:14" ht="15" thickBot="1">
      <c r="B155" s="128" t="s">
        <v>1674</v>
      </c>
      <c r="C155" s="1145">
        <v>7</v>
      </c>
      <c r="D155" s="1168" t="s">
        <v>59</v>
      </c>
      <c r="E155" s="1168">
        <v>28</v>
      </c>
      <c r="F155" s="62">
        <v>72</v>
      </c>
      <c r="G155" s="62">
        <v>89</v>
      </c>
      <c r="H155" s="62">
        <v>199</v>
      </c>
      <c r="I155" s="62">
        <v>207</v>
      </c>
      <c r="J155" s="62">
        <v>297</v>
      </c>
      <c r="K155" s="62">
        <v>278</v>
      </c>
      <c r="L155" s="62">
        <v>275</v>
      </c>
      <c r="M155" s="62">
        <v>190</v>
      </c>
      <c r="N155" s="103"/>
    </row>
    <row r="156" spans="2:14" ht="15" thickBot="1">
      <c r="B156" s="128" t="s">
        <v>38</v>
      </c>
      <c r="C156" s="1143">
        <v>112</v>
      </c>
      <c r="D156" s="1140">
        <v>104</v>
      </c>
      <c r="E156" s="1168">
        <v>83</v>
      </c>
      <c r="F156" s="62">
        <v>41</v>
      </c>
      <c r="G156" s="62">
        <v>33</v>
      </c>
      <c r="H156" s="62">
        <v>0</v>
      </c>
      <c r="I156" s="62">
        <v>0</v>
      </c>
      <c r="J156" s="62">
        <v>0</v>
      </c>
      <c r="K156" s="62">
        <v>0</v>
      </c>
      <c r="L156" s="62">
        <v>0</v>
      </c>
      <c r="M156" s="62">
        <v>0</v>
      </c>
      <c r="N156" s="103"/>
    </row>
    <row r="157" spans="2:14" ht="15" thickBot="1">
      <c r="B157" s="128" t="s">
        <v>709</v>
      </c>
      <c r="C157" s="1143">
        <v>3</v>
      </c>
      <c r="D157" s="1140">
        <v>2</v>
      </c>
      <c r="E157" s="1168" t="s">
        <v>59</v>
      </c>
      <c r="F157" s="62">
        <v>1</v>
      </c>
      <c r="G157" s="62">
        <v>0</v>
      </c>
      <c r="H157" s="62">
        <v>1</v>
      </c>
      <c r="I157" s="62">
        <v>3</v>
      </c>
      <c r="J157" s="62">
        <v>0</v>
      </c>
      <c r="K157" s="62">
        <v>0</v>
      </c>
      <c r="L157" s="62">
        <v>0</v>
      </c>
      <c r="M157" s="62">
        <v>0</v>
      </c>
      <c r="N157" s="103"/>
    </row>
    <row r="158" spans="2:14">
      <c r="B158" s="117" t="s">
        <v>129</v>
      </c>
      <c r="C158" s="1163">
        <v>2</v>
      </c>
      <c r="D158" s="1267">
        <v>0</v>
      </c>
      <c r="E158" s="1169">
        <v>0</v>
      </c>
      <c r="F158" s="103">
        <v>0</v>
      </c>
      <c r="G158" s="103">
        <v>45</v>
      </c>
      <c r="H158" s="103">
        <v>0</v>
      </c>
      <c r="I158" s="103">
        <v>0</v>
      </c>
      <c r="J158" s="103">
        <v>0</v>
      </c>
      <c r="K158" s="103">
        <v>0</v>
      </c>
      <c r="L158" s="103">
        <v>8</v>
      </c>
      <c r="M158" s="103">
        <v>10</v>
      </c>
      <c r="N158" s="103"/>
    </row>
    <row r="159" spans="2:14">
      <c r="B159" s="312" t="s">
        <v>52</v>
      </c>
      <c r="C159" s="1164">
        <v>20109</v>
      </c>
      <c r="D159" s="1164">
        <v>16383</v>
      </c>
      <c r="E159" s="1170">
        <v>15751</v>
      </c>
      <c r="F159" s="362">
        <v>15091</v>
      </c>
      <c r="G159" s="362">
        <v>10834</v>
      </c>
      <c r="H159" s="362">
        <v>12741</v>
      </c>
      <c r="I159" s="362">
        <v>11345</v>
      </c>
      <c r="J159" s="362">
        <v>9497</v>
      </c>
      <c r="K159" s="362">
        <v>10263</v>
      </c>
      <c r="L159" s="363">
        <v>8768</v>
      </c>
      <c r="M159" s="363">
        <v>7002</v>
      </c>
      <c r="N159" s="122"/>
    </row>
    <row r="160" spans="2:14">
      <c r="B160" s="348" t="s">
        <v>2018</v>
      </c>
      <c r="C160" s="365"/>
      <c r="D160" s="365"/>
      <c r="E160" s="365"/>
      <c r="F160" s="365"/>
      <c r="G160" s="365"/>
      <c r="H160" s="365"/>
      <c r="I160" s="365"/>
      <c r="J160" s="365"/>
      <c r="K160" s="365"/>
      <c r="L160" s="365"/>
      <c r="M160" s="365"/>
      <c r="N160" s="82"/>
    </row>
    <row r="161" spans="2:13">
      <c r="B161" s="366"/>
      <c r="K161" s="367"/>
      <c r="L161" s="367"/>
      <c r="M161" s="367"/>
    </row>
  </sheetData>
  <sortState xmlns:xlrd2="http://schemas.microsoft.com/office/spreadsheetml/2017/richdata2" ref="V128:X138">
    <sortCondition ref="V128"/>
  </sortState>
  <mergeCells count="1">
    <mergeCell ref="C44:D44"/>
  </mergeCells>
  <hyperlinks>
    <hyperlink ref="B20" r:id="rId1" display="Source: Worldbank, 2017, World Development Indicators " xr:uid="{00000000-0004-0000-1000-000000000000}"/>
    <hyperlink ref="B66" r:id="rId2" display="Source: ALADI, Sistema de Información de Comercio Exterior , Ascociacion Latinoamericana de Intergracion until 2015, from 2016  ITC Trade map" xr:uid="{00000000-0004-0000-1000-000001000000}"/>
    <hyperlink ref="B76" r:id="rId3" display="Source: ALADI, Sistema de Información de Comercio Exterior , Ascociacion Latinoamericana de Intergracion until 2015, from 2016  ITC Trade map" xr:uid="{00000000-0004-0000-1000-000002000000}"/>
    <hyperlink ref="B86" r:id="rId4" display="Source: ALADI, Sistema de Información de Comercio Exterior , Ascociacion Latinoamericana de Intergracion until 2015, from 2016  ITC Trade map" xr:uid="{00000000-0004-0000-1000-000003000000}"/>
    <hyperlink ref="B112" r:id="rId5" display="Source: ALADI, Sistema de Información de Comercio Exterior , Ascociacion Latinoamericana de Intergracion until 2015, from 2016  ITC Trade map" xr:uid="{00000000-0004-0000-1000-000004000000}"/>
    <hyperlink ref="B131" r:id="rId6" display="Source: ALADI, Sistema de Información de Comercio Exterior , Ascociacion Latinoamericana de Intergracion until 2015, from 2016  ITC Trade map" xr:uid="{00000000-0004-0000-1000-000005000000}"/>
    <hyperlink ref="B145" r:id="rId7" display="Source: ALADI, Sistema de Información de Comercio Exterior , Ascociacion Latinoamericana de Intergracion until 2015, from 2016  ITC Trade map" xr:uid="{00000000-0004-0000-1000-000006000000}"/>
    <hyperlink ref="B160" r:id="rId8" display="Source: ALADI, Sistema de Información de Comercio Exterior , Ascociacion Latinoamericana de Intergracion until 2015, from 2016  ITC Trade map" xr:uid="{00000000-0004-0000-1000-000007000000}"/>
  </hyperlinks>
  <pageMargins left="0.7" right="0.7" top="0.78740157499999996" bottom="0.78740157499999996" header="0.3" footer="0.3"/>
  <pageSetup paperSize="9" orientation="portrait" r:id="rId9"/>
  <drawing r:id="rId1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50"/>
  </sheetPr>
  <dimension ref="B1:F43"/>
  <sheetViews>
    <sheetView showGridLines="0" zoomScale="90" zoomScaleNormal="90" workbookViewId="0">
      <selection activeCell="B20" sqref="B20"/>
    </sheetView>
  </sheetViews>
  <sheetFormatPr defaultColWidth="11.44140625" defaultRowHeight="14.4"/>
  <cols>
    <col min="1" max="1" width="7.44140625" customWidth="1"/>
    <col min="2" max="2" width="45.21875" customWidth="1"/>
    <col min="3" max="4" width="8.6640625" customWidth="1"/>
    <col min="5" max="5" width="9.77734375" customWidth="1"/>
    <col min="6" max="6" width="10.33203125" customWidth="1"/>
  </cols>
  <sheetData>
    <row r="1" spans="2:6" ht="15" customHeight="1"/>
    <row r="2" spans="2:6" ht="15" customHeight="1">
      <c r="B2" s="83"/>
    </row>
    <row r="3" spans="2:6" ht="15" customHeight="1">
      <c r="B3" s="83" t="s">
        <v>172</v>
      </c>
    </row>
    <row r="4" spans="2:6" ht="15" customHeight="1">
      <c r="B4" s="83"/>
    </row>
    <row r="5" spans="2:6" ht="15" customHeight="1">
      <c r="B5" s="83" t="s">
        <v>106</v>
      </c>
      <c r="F5" s="376"/>
    </row>
    <row r="6" spans="2:6" ht="15" customHeight="1">
      <c r="B6" s="93" t="s">
        <v>1331</v>
      </c>
    </row>
    <row r="7" spans="2:6" ht="15" customHeight="1">
      <c r="B7" s="115"/>
      <c r="C7" s="115">
        <v>2023</v>
      </c>
      <c r="D7" s="115">
        <v>2022</v>
      </c>
      <c r="E7" s="115">
        <v>2021</v>
      </c>
      <c r="F7" s="115">
        <v>2020</v>
      </c>
    </row>
    <row r="8" spans="2:6" ht="15" customHeight="1" thickBot="1">
      <c r="B8" s="49" t="s">
        <v>61</v>
      </c>
      <c r="C8" s="140">
        <v>37</v>
      </c>
      <c r="D8" s="202">
        <v>67</v>
      </c>
      <c r="E8" s="202">
        <v>38</v>
      </c>
      <c r="F8" s="202">
        <v>34</v>
      </c>
    </row>
    <row r="9" spans="2:6" ht="15" customHeight="1" thickBot="1">
      <c r="B9" s="36" t="s">
        <v>2399</v>
      </c>
      <c r="C9" s="89">
        <v>3</v>
      </c>
      <c r="D9" s="59">
        <v>4</v>
      </c>
      <c r="E9" s="59">
        <v>1</v>
      </c>
      <c r="F9" s="59">
        <v>1</v>
      </c>
    </row>
    <row r="10" spans="2:6" ht="15" customHeight="1" thickBot="1">
      <c r="B10" s="36" t="s">
        <v>238</v>
      </c>
      <c r="C10" s="89">
        <v>2</v>
      </c>
      <c r="D10" s="59">
        <v>2</v>
      </c>
      <c r="E10" s="59">
        <v>2</v>
      </c>
      <c r="F10" s="59">
        <v>2</v>
      </c>
    </row>
    <row r="11" spans="2:6" ht="15" customHeight="1" thickBot="1">
      <c r="B11" s="36" t="s">
        <v>2392</v>
      </c>
      <c r="C11" s="89">
        <v>2</v>
      </c>
      <c r="D11" s="59">
        <v>3</v>
      </c>
      <c r="E11" s="59">
        <v>2</v>
      </c>
      <c r="F11" s="59">
        <v>2</v>
      </c>
    </row>
    <row r="12" spans="2:6" ht="15" customHeight="1" thickBot="1">
      <c r="B12" s="36" t="s">
        <v>354</v>
      </c>
      <c r="C12" s="89">
        <v>30</v>
      </c>
      <c r="D12" s="59">
        <v>58</v>
      </c>
      <c r="E12" s="59">
        <v>33</v>
      </c>
      <c r="F12" s="59">
        <v>29</v>
      </c>
    </row>
    <row r="13" spans="2:6" ht="15" customHeight="1" thickBot="1">
      <c r="B13" s="49" t="s">
        <v>2393</v>
      </c>
      <c r="C13" s="69">
        <v>30</v>
      </c>
      <c r="D13" s="60">
        <v>29</v>
      </c>
      <c r="E13" s="60">
        <v>30</v>
      </c>
      <c r="F13" s="60">
        <v>35</v>
      </c>
    </row>
    <row r="14" spans="2:6" ht="15" customHeight="1" thickBot="1">
      <c r="B14" s="49" t="s">
        <v>2397</v>
      </c>
      <c r="C14" s="216">
        <v>1426</v>
      </c>
      <c r="D14" s="45">
        <v>1373</v>
      </c>
      <c r="E14" s="45">
        <v>1429</v>
      </c>
      <c r="F14" s="45">
        <v>1394</v>
      </c>
    </row>
    <row r="15" spans="2:6" ht="15" customHeight="1" thickBot="1">
      <c r="B15" s="36" t="s">
        <v>2394</v>
      </c>
      <c r="C15" s="222">
        <v>469</v>
      </c>
      <c r="D15" s="46">
        <v>349</v>
      </c>
      <c r="E15" s="45">
        <v>356</v>
      </c>
      <c r="F15" s="45">
        <v>380</v>
      </c>
    </row>
    <row r="16" spans="2:6" ht="15" customHeight="1" thickBot="1">
      <c r="B16" s="36" t="s">
        <v>2395</v>
      </c>
      <c r="C16" s="222">
        <v>237</v>
      </c>
      <c r="D16" s="46">
        <v>467</v>
      </c>
      <c r="E16" s="46">
        <v>513</v>
      </c>
      <c r="F16" s="46">
        <v>470</v>
      </c>
    </row>
    <row r="17" spans="2:6" ht="15" customHeight="1" thickBot="1">
      <c r="B17" s="36" t="s">
        <v>2396</v>
      </c>
      <c r="C17" s="222">
        <v>199</v>
      </c>
      <c r="D17" s="46">
        <v>124</v>
      </c>
      <c r="E17" s="46">
        <v>114</v>
      </c>
      <c r="F17" s="46">
        <v>118</v>
      </c>
    </row>
    <row r="18" spans="2:6" ht="15" customHeight="1" thickBot="1">
      <c r="B18" s="36" t="s">
        <v>71</v>
      </c>
      <c r="C18" s="222">
        <v>35</v>
      </c>
      <c r="D18" s="46">
        <v>25</v>
      </c>
      <c r="E18" s="46">
        <v>30</v>
      </c>
      <c r="F18" s="46">
        <v>25</v>
      </c>
    </row>
    <row r="19" spans="2:6" ht="15" customHeight="1">
      <c r="B19" s="217" t="s">
        <v>242</v>
      </c>
      <c r="C19" s="218">
        <v>261</v>
      </c>
      <c r="D19" s="1433">
        <v>182</v>
      </c>
      <c r="E19" s="1433">
        <v>151</v>
      </c>
      <c r="F19" s="1433">
        <v>140</v>
      </c>
    </row>
    <row r="20" spans="2:6">
      <c r="B20" s="92" t="s">
        <v>2398</v>
      </c>
    </row>
    <row r="22" spans="2:6" ht="15.6">
      <c r="B22" s="83" t="s">
        <v>106</v>
      </c>
    </row>
    <row r="23" spans="2:6">
      <c r="B23" s="93" t="s">
        <v>46</v>
      </c>
    </row>
    <row r="24" spans="2:6">
      <c r="B24" s="115"/>
      <c r="C24" s="115">
        <v>2019</v>
      </c>
      <c r="D24" s="94"/>
    </row>
    <row r="25" spans="2:6" ht="15" thickBot="1">
      <c r="B25" s="49" t="s">
        <v>134</v>
      </c>
      <c r="C25" s="140">
        <v>105</v>
      </c>
      <c r="D25" s="122"/>
    </row>
    <row r="26" spans="2:6" ht="15" thickBot="1">
      <c r="B26" s="36" t="s">
        <v>113</v>
      </c>
      <c r="C26" s="89">
        <v>10</v>
      </c>
      <c r="D26" s="121"/>
    </row>
    <row r="27" spans="2:6" ht="15" thickBot="1">
      <c r="B27" s="36" t="s">
        <v>116</v>
      </c>
      <c r="C27" s="89">
        <v>20</v>
      </c>
      <c r="D27" s="121"/>
    </row>
    <row r="28" spans="2:6" ht="15" thickBot="1">
      <c r="B28" s="36" t="s">
        <v>115</v>
      </c>
      <c r="C28" s="89">
        <v>30</v>
      </c>
      <c r="D28" s="121"/>
    </row>
    <row r="29" spans="2:6" ht="15" thickBot="1">
      <c r="B29" s="36" t="s">
        <v>354</v>
      </c>
      <c r="C29" s="89">
        <v>45</v>
      </c>
      <c r="D29" s="121"/>
    </row>
    <row r="30" spans="2:6" ht="15" thickBot="1">
      <c r="B30" s="49" t="s">
        <v>491</v>
      </c>
      <c r="C30" s="69">
        <v>190</v>
      </c>
      <c r="D30" s="122"/>
    </row>
    <row r="31" spans="2:6" ht="15" thickBot="1">
      <c r="B31" s="36" t="s">
        <v>492</v>
      </c>
      <c r="C31" s="89">
        <v>130</v>
      </c>
      <c r="D31" s="121"/>
    </row>
    <row r="32" spans="2:6" ht="15" thickBot="1">
      <c r="B32" s="36" t="s">
        <v>160</v>
      </c>
      <c r="C32" s="89">
        <v>32</v>
      </c>
      <c r="D32" s="121"/>
    </row>
    <row r="33" spans="2:4" ht="15" thickBot="1">
      <c r="B33" s="36" t="s">
        <v>115</v>
      </c>
      <c r="C33" s="89">
        <v>10</v>
      </c>
      <c r="D33" s="121"/>
    </row>
    <row r="34" spans="2:4" ht="15" thickBot="1">
      <c r="B34" s="36" t="s">
        <v>354</v>
      </c>
      <c r="C34" s="89">
        <v>88</v>
      </c>
      <c r="D34" s="121"/>
    </row>
    <row r="35" spans="2:4" ht="15" thickBot="1">
      <c r="B35" s="49" t="s">
        <v>493</v>
      </c>
      <c r="C35" s="69">
        <v>55</v>
      </c>
      <c r="D35" s="122"/>
    </row>
    <row r="36" spans="2:4" ht="15" thickBot="1">
      <c r="B36" s="36" t="s">
        <v>134</v>
      </c>
      <c r="C36" s="89">
        <v>45</v>
      </c>
      <c r="D36" s="121"/>
    </row>
    <row r="37" spans="2:4" ht="15" thickBot="1">
      <c r="B37" s="36" t="s">
        <v>492</v>
      </c>
      <c r="C37" s="89">
        <v>10</v>
      </c>
      <c r="D37" s="121"/>
    </row>
    <row r="38" spans="2:4" ht="15" thickBot="1">
      <c r="B38" s="49" t="s">
        <v>494</v>
      </c>
      <c r="C38" s="216">
        <v>2610</v>
      </c>
      <c r="D38" s="122"/>
    </row>
    <row r="39" spans="2:4" ht="15" thickBot="1">
      <c r="B39" s="36" t="s">
        <v>72</v>
      </c>
      <c r="C39" s="222">
        <v>35</v>
      </c>
      <c r="D39" s="121"/>
    </row>
    <row r="40" spans="2:4" ht="15" thickBot="1">
      <c r="B40" s="36" t="s">
        <v>71</v>
      </c>
      <c r="C40" s="222">
        <v>110</v>
      </c>
      <c r="D40" s="121"/>
    </row>
    <row r="41" spans="2:4" ht="15" thickBot="1">
      <c r="B41" s="36" t="s">
        <v>495</v>
      </c>
      <c r="C41" s="222">
        <v>2495</v>
      </c>
      <c r="D41" s="121"/>
    </row>
    <row r="42" spans="2:4">
      <c r="B42" s="217" t="s">
        <v>242</v>
      </c>
      <c r="C42" s="218">
        <v>3000</v>
      </c>
      <c r="D42" s="122"/>
    </row>
    <row r="43" spans="2:4">
      <c r="B43" s="92" t="s">
        <v>496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50"/>
  </sheetPr>
  <dimension ref="B2:Q144"/>
  <sheetViews>
    <sheetView topLeftCell="A28" zoomScale="90" zoomScaleNormal="90" workbookViewId="0">
      <selection activeCell="C19" sqref="C19"/>
    </sheetView>
  </sheetViews>
  <sheetFormatPr defaultColWidth="11.44140625" defaultRowHeight="14.4"/>
  <cols>
    <col min="2" max="2" width="27.5546875" customWidth="1"/>
    <col min="4" max="4" width="25.88671875" customWidth="1"/>
    <col min="5" max="5" width="18.6640625" customWidth="1"/>
  </cols>
  <sheetData>
    <row r="2" spans="2:4" ht="15.6">
      <c r="B2" s="86" t="s">
        <v>1101</v>
      </c>
    </row>
    <row r="4" spans="2:4" ht="15.6">
      <c r="B4" s="83"/>
    </row>
    <row r="5" spans="2:4" ht="15.6">
      <c r="B5" s="83" t="s">
        <v>2417</v>
      </c>
    </row>
    <row r="6" spans="2:4" ht="15.6">
      <c r="B6" s="83"/>
    </row>
    <row r="7" spans="2:4">
      <c r="B7" s="13" t="s">
        <v>530</v>
      </c>
      <c r="C7" s="645">
        <v>1451</v>
      </c>
      <c r="D7" s="240" t="s">
        <v>531</v>
      </c>
    </row>
    <row r="8" spans="2:4" ht="15" customHeight="1">
      <c r="B8" s="13" t="s">
        <v>532</v>
      </c>
      <c r="C8" s="645">
        <v>3287300</v>
      </c>
      <c r="D8" s="240" t="s">
        <v>533</v>
      </c>
    </row>
    <row r="9" spans="2:4">
      <c r="B9" s="242" t="s">
        <v>534</v>
      </c>
      <c r="C9" s="243">
        <v>479</v>
      </c>
      <c r="D9" s="244" t="s">
        <v>535</v>
      </c>
    </row>
    <row r="10" spans="2:4">
      <c r="B10" s="245"/>
      <c r="C10" s="246"/>
      <c r="D10" s="240"/>
    </row>
    <row r="11" spans="2:4" ht="15" customHeight="1">
      <c r="B11" s="13" t="s">
        <v>536</v>
      </c>
      <c r="C11" s="247">
        <v>3839</v>
      </c>
      <c r="D11" s="240" t="s">
        <v>537</v>
      </c>
    </row>
    <row r="12" spans="2:4">
      <c r="B12" s="245" t="s">
        <v>538</v>
      </c>
      <c r="C12" s="246">
        <v>2650</v>
      </c>
      <c r="D12" s="240" t="s">
        <v>539</v>
      </c>
    </row>
    <row r="13" spans="2:4" ht="15" customHeight="1">
      <c r="B13" s="13" t="s">
        <v>540</v>
      </c>
      <c r="C13" s="247">
        <v>15957</v>
      </c>
      <c r="D13" s="240" t="s">
        <v>537</v>
      </c>
    </row>
    <row r="14" spans="2:4">
      <c r="B14" s="245" t="s">
        <v>541</v>
      </c>
      <c r="C14" s="246"/>
      <c r="D14" s="240"/>
    </row>
    <row r="15" spans="2:4">
      <c r="B15" s="245" t="s">
        <v>538</v>
      </c>
      <c r="C15" s="246">
        <v>11000</v>
      </c>
      <c r="D15" s="240" t="s">
        <v>542</v>
      </c>
    </row>
    <row r="16" spans="2:4">
      <c r="B16" s="248"/>
      <c r="C16" s="249"/>
      <c r="D16" s="244"/>
    </row>
    <row r="17" spans="2:16" ht="15" customHeight="1">
      <c r="B17" s="13" t="s">
        <v>543</v>
      </c>
      <c r="C17" s="239">
        <v>6.5</v>
      </c>
      <c r="D17" s="240" t="s">
        <v>544</v>
      </c>
    </row>
    <row r="18" spans="2:16">
      <c r="B18" s="13" t="s">
        <v>545</v>
      </c>
      <c r="C18" s="239">
        <v>5.5</v>
      </c>
      <c r="D18" s="240" t="s">
        <v>546</v>
      </c>
    </row>
    <row r="19" spans="2:16">
      <c r="B19" s="245"/>
      <c r="C19" s="246"/>
      <c r="D19" s="246"/>
    </row>
    <row r="20" spans="2:16">
      <c r="B20" s="250" t="s">
        <v>712</v>
      </c>
      <c r="C20" s="251"/>
      <c r="D20" s="251"/>
      <c r="E20" s="240"/>
    </row>
    <row r="21" spans="2:16">
      <c r="B21" s="252" t="s">
        <v>1955</v>
      </c>
      <c r="C21" s="253"/>
      <c r="D21" s="253"/>
      <c r="E21" s="251"/>
    </row>
    <row r="22" spans="2:16">
      <c r="E22" s="82"/>
    </row>
    <row r="24" spans="2:16" ht="15.6">
      <c r="B24" s="83" t="s">
        <v>1102</v>
      </c>
      <c r="C24" s="93"/>
      <c r="D24" s="93"/>
      <c r="E24" s="93"/>
      <c r="F24" s="93"/>
      <c r="G24" s="93"/>
      <c r="H24" s="93"/>
      <c r="I24" s="93"/>
    </row>
    <row r="25" spans="2:16">
      <c r="B25" s="93" t="s">
        <v>1103</v>
      </c>
      <c r="C25" s="93"/>
      <c r="D25" s="93"/>
      <c r="E25" s="93"/>
      <c r="F25" s="93"/>
      <c r="G25" s="93"/>
      <c r="H25" s="93"/>
      <c r="I25" s="93"/>
    </row>
    <row r="26" spans="2:16" ht="15.6">
      <c r="B26" s="245"/>
      <c r="C26" s="323" t="s">
        <v>1909</v>
      </c>
      <c r="D26" s="323" t="s">
        <v>1831</v>
      </c>
      <c r="E26" s="323" t="s">
        <v>1626</v>
      </c>
      <c r="F26" s="323" t="s">
        <v>559</v>
      </c>
      <c r="G26" s="323" t="s">
        <v>550</v>
      </c>
      <c r="H26" s="323" t="s">
        <v>1104</v>
      </c>
      <c r="I26" s="323" t="s">
        <v>1105</v>
      </c>
      <c r="J26" s="323" t="s">
        <v>1131</v>
      </c>
      <c r="K26" s="323" t="s">
        <v>1753</v>
      </c>
      <c r="L26" s="323" t="s">
        <v>561</v>
      </c>
      <c r="M26" s="323" t="s">
        <v>562</v>
      </c>
      <c r="N26" s="1023"/>
      <c r="O26" s="1023"/>
      <c r="P26" s="1023"/>
    </row>
    <row r="27" spans="2:16" ht="15" thickBot="1">
      <c r="B27" s="646" t="s">
        <v>1106</v>
      </c>
      <c r="C27" s="1215">
        <v>285</v>
      </c>
      <c r="D27" s="648">
        <v>282</v>
      </c>
      <c r="E27" s="648">
        <v>322</v>
      </c>
      <c r="F27" s="648">
        <v>323</v>
      </c>
      <c r="G27" s="648">
        <v>303</v>
      </c>
      <c r="H27" s="648">
        <v>324</v>
      </c>
      <c r="I27" s="648">
        <v>306</v>
      </c>
      <c r="J27" s="648">
        <v>278</v>
      </c>
      <c r="K27" s="648">
        <v>249</v>
      </c>
      <c r="L27" s="648">
        <v>255</v>
      </c>
      <c r="M27" s="648">
        <v>234</v>
      </c>
      <c r="N27" s="246"/>
      <c r="O27" s="246"/>
      <c r="P27" s="246"/>
    </row>
    <row r="28" spans="2:16" ht="27" thickBot="1">
      <c r="B28" s="646" t="s">
        <v>1107</v>
      </c>
      <c r="C28" s="1215">
        <v>854</v>
      </c>
      <c r="D28" s="648">
        <v>615</v>
      </c>
      <c r="E28" s="648">
        <v>828</v>
      </c>
      <c r="F28" s="648">
        <v>676</v>
      </c>
      <c r="G28" s="648">
        <v>647</v>
      </c>
      <c r="H28" s="648">
        <v>823</v>
      </c>
      <c r="I28" s="648">
        <v>693</v>
      </c>
      <c r="J28" s="648">
        <v>528</v>
      </c>
      <c r="K28" s="648">
        <v>484</v>
      </c>
      <c r="L28" s="648" t="s">
        <v>1108</v>
      </c>
      <c r="M28" s="648">
        <v>7673</v>
      </c>
      <c r="N28" s="246"/>
      <c r="O28" s="246"/>
      <c r="P28" s="246"/>
    </row>
    <row r="29" spans="2:16" ht="15" thickBot="1">
      <c r="B29" s="646" t="s">
        <v>1109</v>
      </c>
      <c r="C29" s="1215">
        <v>2242</v>
      </c>
      <c r="D29" s="648">
        <v>2199</v>
      </c>
      <c r="E29" s="648">
        <v>2152</v>
      </c>
      <c r="F29" s="648">
        <v>2323</v>
      </c>
      <c r="G29" s="648">
        <v>2263</v>
      </c>
      <c r="H29" s="648">
        <v>1962</v>
      </c>
      <c r="I29" s="648">
        <v>1699</v>
      </c>
      <c r="J29" s="648">
        <v>1656</v>
      </c>
      <c r="K29" s="648">
        <v>1659</v>
      </c>
      <c r="L29" s="648">
        <v>1754</v>
      </c>
      <c r="M29" s="648">
        <v>1729</v>
      </c>
      <c r="N29" s="246"/>
      <c r="O29" s="246"/>
      <c r="P29" s="246"/>
    </row>
    <row r="30" spans="2:16">
      <c r="B30" s="10" t="s">
        <v>1910</v>
      </c>
      <c r="C30" s="92"/>
      <c r="D30" s="92"/>
      <c r="E30" s="92"/>
      <c r="F30" s="92"/>
      <c r="G30" s="92"/>
      <c r="H30" s="92"/>
      <c r="I30" s="92"/>
    </row>
    <row r="31" spans="2:16">
      <c r="B31" s="77" t="s">
        <v>1754</v>
      </c>
    </row>
    <row r="32" spans="2:16">
      <c r="B32" s="77" t="s">
        <v>1110</v>
      </c>
    </row>
    <row r="33" spans="2:15">
      <c r="C33" s="23"/>
    </row>
    <row r="36" spans="2:15" ht="15.6">
      <c r="B36" s="86" t="s">
        <v>1111</v>
      </c>
    </row>
    <row r="37" spans="2:15">
      <c r="B37" s="93" t="s">
        <v>1112</v>
      </c>
    </row>
    <row r="38" spans="2:15" ht="15.6">
      <c r="B38" s="21"/>
      <c r="C38" s="323" t="s">
        <v>1911</v>
      </c>
      <c r="D38" s="323" t="s">
        <v>1831</v>
      </c>
      <c r="E38" s="323" t="s">
        <v>1626</v>
      </c>
      <c r="F38" s="323" t="s">
        <v>559</v>
      </c>
      <c r="G38" s="323" t="s">
        <v>1755</v>
      </c>
      <c r="H38" s="323" t="s">
        <v>1104</v>
      </c>
      <c r="I38" s="323" t="s">
        <v>1105</v>
      </c>
      <c r="J38" s="323" t="s">
        <v>1131</v>
      </c>
      <c r="K38" s="323" t="s">
        <v>560</v>
      </c>
      <c r="L38" s="323" t="s">
        <v>561</v>
      </c>
      <c r="M38" s="323" t="s">
        <v>562</v>
      </c>
      <c r="N38" s="1023"/>
      <c r="O38" s="1023"/>
    </row>
    <row r="39" spans="2:15" ht="15" thickBot="1">
      <c r="B39" s="646" t="s">
        <v>1113</v>
      </c>
      <c r="C39" s="1217">
        <v>0.26</v>
      </c>
      <c r="D39" s="1024">
        <v>0.35</v>
      </c>
      <c r="E39" s="648">
        <v>53.260000000000005</v>
      </c>
      <c r="F39" s="648">
        <v>53</v>
      </c>
      <c r="G39" s="649">
        <v>53</v>
      </c>
      <c r="H39" s="649">
        <v>38</v>
      </c>
      <c r="I39" s="649">
        <v>27</v>
      </c>
      <c r="J39" s="649">
        <v>13</v>
      </c>
      <c r="K39" s="649">
        <v>13</v>
      </c>
      <c r="L39" s="649" t="s">
        <v>59</v>
      </c>
      <c r="M39" s="649" t="s">
        <v>59</v>
      </c>
      <c r="N39" s="1213"/>
      <c r="O39" s="1213"/>
    </row>
    <row r="40" spans="2:15" ht="15" thickBot="1">
      <c r="B40" s="646" t="s">
        <v>1114</v>
      </c>
      <c r="C40" s="1217">
        <v>44.16</v>
      </c>
      <c r="D40" s="648">
        <v>45.61</v>
      </c>
      <c r="E40" s="648">
        <v>42.920340000000003</v>
      </c>
      <c r="F40" s="648">
        <v>36</v>
      </c>
      <c r="G40" s="649">
        <v>37</v>
      </c>
      <c r="H40" s="649">
        <v>34</v>
      </c>
      <c r="I40" s="649">
        <v>32</v>
      </c>
      <c r="J40" s="649">
        <v>31</v>
      </c>
      <c r="K40" s="649">
        <v>55</v>
      </c>
      <c r="L40" s="649">
        <v>32</v>
      </c>
      <c r="M40" s="649">
        <v>29</v>
      </c>
      <c r="N40" s="1213"/>
      <c r="O40" s="1213"/>
    </row>
    <row r="41" spans="2:15" ht="15" thickBot="1">
      <c r="B41" s="646" t="s">
        <v>1115</v>
      </c>
      <c r="C41" s="1217">
        <v>39.49</v>
      </c>
      <c r="D41" s="648">
        <v>37.65</v>
      </c>
      <c r="E41" s="648">
        <v>35.728000000000002</v>
      </c>
      <c r="F41" s="648">
        <v>33</v>
      </c>
      <c r="G41" s="649">
        <v>30</v>
      </c>
      <c r="H41" s="649">
        <v>20</v>
      </c>
      <c r="I41" s="649">
        <v>18</v>
      </c>
      <c r="J41" s="649">
        <v>18</v>
      </c>
      <c r="K41" s="649">
        <v>18</v>
      </c>
      <c r="L41" s="649">
        <v>16</v>
      </c>
      <c r="M41" s="649">
        <v>17</v>
      </c>
      <c r="N41" s="1213"/>
      <c r="O41" s="1213"/>
    </row>
    <row r="42" spans="2:15" ht="15" thickBot="1">
      <c r="B42" s="646" t="s">
        <v>1116</v>
      </c>
      <c r="C42" s="1217">
        <v>34.409999999999997</v>
      </c>
      <c r="D42" s="648">
        <v>30.04</v>
      </c>
      <c r="E42" s="648">
        <v>29.314999999999998</v>
      </c>
      <c r="F42" s="648">
        <v>29</v>
      </c>
      <c r="G42" s="649">
        <v>29</v>
      </c>
      <c r="H42" s="649">
        <v>27</v>
      </c>
      <c r="I42" s="649">
        <v>26</v>
      </c>
      <c r="J42" s="649">
        <v>26</v>
      </c>
      <c r="K42" s="649">
        <v>25</v>
      </c>
      <c r="L42" s="649">
        <v>25</v>
      </c>
      <c r="M42" s="649">
        <v>24</v>
      </c>
      <c r="N42" s="1213"/>
      <c r="O42" s="1213"/>
    </row>
    <row r="43" spans="2:15" ht="15" thickBot="1">
      <c r="B43" s="646" t="s">
        <v>1117</v>
      </c>
      <c r="C43" s="1217">
        <v>14.58</v>
      </c>
      <c r="D43" s="648">
        <v>14.58</v>
      </c>
      <c r="E43" s="648">
        <v>17.510999999999999</v>
      </c>
      <c r="F43" s="648">
        <v>27</v>
      </c>
      <c r="G43" s="649">
        <v>28</v>
      </c>
      <c r="H43" s="649">
        <v>26</v>
      </c>
      <c r="I43" s="649">
        <v>17</v>
      </c>
      <c r="J43" s="649">
        <v>18</v>
      </c>
      <c r="K43" s="649">
        <v>16</v>
      </c>
      <c r="L43" s="649">
        <v>64</v>
      </c>
      <c r="M43" s="649">
        <v>35</v>
      </c>
      <c r="N43" s="1213"/>
      <c r="O43" s="1213"/>
    </row>
    <row r="44" spans="2:15" ht="15" thickBot="1">
      <c r="B44" s="646" t="s">
        <v>1118</v>
      </c>
      <c r="C44" s="1217">
        <v>42</v>
      </c>
      <c r="D44" s="648">
        <v>46.66</v>
      </c>
      <c r="E44" s="648">
        <v>36.707999999999998</v>
      </c>
      <c r="F44" s="648">
        <v>34</v>
      </c>
      <c r="G44" s="649">
        <v>25</v>
      </c>
      <c r="H44" s="649">
        <v>31</v>
      </c>
      <c r="I44" s="649">
        <v>33</v>
      </c>
      <c r="J44" s="649">
        <v>32</v>
      </c>
      <c r="K44" s="649">
        <v>31</v>
      </c>
      <c r="L44" s="649">
        <v>30.6</v>
      </c>
      <c r="M44" s="649">
        <v>30</v>
      </c>
      <c r="N44" s="1213"/>
      <c r="O44" s="1213"/>
    </row>
    <row r="45" spans="2:15" ht="15" thickBot="1">
      <c r="B45" s="646" t="s">
        <v>1119</v>
      </c>
      <c r="C45" s="1217">
        <v>23.16</v>
      </c>
      <c r="D45" s="648">
        <v>22.76</v>
      </c>
      <c r="E45" s="648">
        <v>22.574999999999999</v>
      </c>
      <c r="F45" s="648">
        <v>22</v>
      </c>
      <c r="G45" s="649">
        <v>21</v>
      </c>
      <c r="H45" s="649">
        <v>21</v>
      </c>
      <c r="I45" s="649">
        <v>22</v>
      </c>
      <c r="J45" s="649">
        <v>17</v>
      </c>
      <c r="K45" s="649">
        <v>17</v>
      </c>
      <c r="L45" s="649">
        <v>14.5</v>
      </c>
      <c r="M45" s="649">
        <v>16</v>
      </c>
      <c r="N45" s="1213"/>
      <c r="O45" s="1213"/>
    </row>
    <row r="46" spans="2:15" ht="15" thickBot="1">
      <c r="B46" s="646" t="s">
        <v>1120</v>
      </c>
      <c r="C46" s="1217">
        <v>21.33</v>
      </c>
      <c r="D46" s="648">
        <v>20.57</v>
      </c>
      <c r="E46" s="648">
        <v>19.984999999999999</v>
      </c>
      <c r="F46" s="648">
        <v>20</v>
      </c>
      <c r="G46" s="649">
        <v>21</v>
      </c>
      <c r="H46" s="649">
        <v>20</v>
      </c>
      <c r="I46" s="649">
        <v>20</v>
      </c>
      <c r="J46" s="649">
        <v>20</v>
      </c>
      <c r="K46" s="649">
        <v>19</v>
      </c>
      <c r="L46" s="649">
        <v>16</v>
      </c>
      <c r="M46" s="649">
        <v>17</v>
      </c>
      <c r="N46" s="1213"/>
      <c r="O46" s="1213"/>
    </row>
    <row r="47" spans="2:15" ht="15" thickBot="1">
      <c r="B47" s="646" t="s">
        <v>1756</v>
      </c>
      <c r="C47" s="1217">
        <v>13.64</v>
      </c>
      <c r="D47" s="648">
        <v>12.23</v>
      </c>
      <c r="E47" s="648">
        <v>13.098000000000001</v>
      </c>
      <c r="F47" s="648">
        <v>14</v>
      </c>
      <c r="G47" s="649">
        <v>14</v>
      </c>
      <c r="H47" s="649">
        <v>13</v>
      </c>
      <c r="I47" s="649">
        <v>11</v>
      </c>
      <c r="J47" s="649">
        <v>11</v>
      </c>
      <c r="K47" s="649">
        <v>11</v>
      </c>
      <c r="L47" s="649">
        <v>8</v>
      </c>
      <c r="M47" s="649">
        <v>10</v>
      </c>
      <c r="N47" s="1213"/>
      <c r="O47" s="1213"/>
    </row>
    <row r="48" spans="2:15" ht="15" thickBot="1">
      <c r="B48" s="646" t="s">
        <v>1121</v>
      </c>
      <c r="C48" s="1217">
        <v>10.56</v>
      </c>
      <c r="D48" s="648">
        <v>11.93</v>
      </c>
      <c r="E48" s="648">
        <v>11.41</v>
      </c>
      <c r="F48" s="648">
        <v>13</v>
      </c>
      <c r="G48" s="649">
        <v>11</v>
      </c>
      <c r="H48" s="649">
        <v>5</v>
      </c>
      <c r="I48" s="649">
        <v>12</v>
      </c>
      <c r="J48" s="649">
        <v>12</v>
      </c>
      <c r="K48" s="649">
        <v>7</v>
      </c>
      <c r="L48" s="649">
        <v>19</v>
      </c>
      <c r="M48" s="649">
        <v>22</v>
      </c>
      <c r="N48" s="1213"/>
      <c r="O48" s="1213"/>
    </row>
    <row r="49" spans="2:16" ht="15" thickBot="1">
      <c r="B49" s="646" t="s">
        <v>1122</v>
      </c>
      <c r="C49" s="1217">
        <v>5.71</v>
      </c>
      <c r="D49" s="648">
        <v>5.64</v>
      </c>
      <c r="E49" s="648">
        <v>5.601</v>
      </c>
      <c r="F49" s="648">
        <v>6</v>
      </c>
      <c r="G49" s="649">
        <v>7</v>
      </c>
      <c r="H49" s="649">
        <v>7</v>
      </c>
      <c r="I49" s="649">
        <v>7</v>
      </c>
      <c r="J49" s="649">
        <v>7</v>
      </c>
      <c r="K49" s="649">
        <v>8</v>
      </c>
      <c r="L49" s="649">
        <v>8</v>
      </c>
      <c r="M49" s="649">
        <v>8</v>
      </c>
      <c r="N49" s="1213"/>
      <c r="O49" s="1213"/>
    </row>
    <row r="50" spans="2:16" ht="15" thickBot="1">
      <c r="B50" s="646" t="s">
        <v>1123</v>
      </c>
      <c r="C50" s="1217">
        <v>1.76</v>
      </c>
      <c r="D50" s="648">
        <v>1.61</v>
      </c>
      <c r="E50" s="648">
        <v>1.978</v>
      </c>
      <c r="F50" s="648">
        <v>4</v>
      </c>
      <c r="G50" s="649">
        <v>6</v>
      </c>
      <c r="H50" s="649">
        <v>5</v>
      </c>
      <c r="I50" s="649">
        <v>6</v>
      </c>
      <c r="J50" s="649">
        <v>6</v>
      </c>
      <c r="K50" s="649">
        <v>6</v>
      </c>
      <c r="L50" s="649">
        <v>6</v>
      </c>
      <c r="M50" s="649">
        <v>6</v>
      </c>
      <c r="N50" s="1213"/>
      <c r="O50" s="1213"/>
    </row>
    <row r="51" spans="2:16" ht="15" thickBot="1">
      <c r="B51" s="646" t="s">
        <v>1124</v>
      </c>
      <c r="C51" s="1217">
        <v>3.49</v>
      </c>
      <c r="D51" s="648">
        <v>3.67</v>
      </c>
      <c r="E51" s="648">
        <v>3.661</v>
      </c>
      <c r="F51" s="648">
        <v>4</v>
      </c>
      <c r="G51" s="649">
        <v>3</v>
      </c>
      <c r="H51" s="649">
        <v>3</v>
      </c>
      <c r="I51" s="649">
        <v>3</v>
      </c>
      <c r="J51" s="649">
        <v>3</v>
      </c>
      <c r="K51" s="649">
        <v>3</v>
      </c>
      <c r="L51" s="649">
        <v>3</v>
      </c>
      <c r="M51" s="649">
        <v>3</v>
      </c>
      <c r="N51" s="1213"/>
      <c r="O51" s="1213"/>
    </row>
    <row r="52" spans="2:16" ht="15" thickBot="1">
      <c r="B52" s="646" t="s">
        <v>1125</v>
      </c>
      <c r="C52" s="1217">
        <v>0.26</v>
      </c>
      <c r="D52" s="1024">
        <v>0.1</v>
      </c>
      <c r="E52" s="1024">
        <v>0.10258100000000001</v>
      </c>
      <c r="F52" s="1024">
        <v>0</v>
      </c>
      <c r="G52" s="650">
        <v>0</v>
      </c>
      <c r="H52" s="649">
        <v>50</v>
      </c>
      <c r="I52" s="649">
        <v>52</v>
      </c>
      <c r="J52" s="649">
        <v>50</v>
      </c>
      <c r="K52" s="648" t="s">
        <v>158</v>
      </c>
      <c r="L52" s="648" t="s">
        <v>158</v>
      </c>
      <c r="M52" s="648" t="s">
        <v>158</v>
      </c>
      <c r="N52" s="1214"/>
      <c r="O52" s="1214"/>
    </row>
    <row r="53" spans="2:16">
      <c r="B53" s="651" t="s">
        <v>354</v>
      </c>
      <c r="C53" s="1218">
        <v>30</v>
      </c>
      <c r="D53" s="246">
        <v>29</v>
      </c>
      <c r="E53" s="246">
        <v>28.17</v>
      </c>
      <c r="F53" s="246">
        <v>28</v>
      </c>
      <c r="G53" s="652">
        <v>18</v>
      </c>
      <c r="H53" s="652">
        <v>24</v>
      </c>
      <c r="I53" s="652">
        <v>20</v>
      </c>
      <c r="J53" s="652">
        <v>14</v>
      </c>
      <c r="K53" s="652">
        <v>19</v>
      </c>
      <c r="L53" s="652">
        <v>12.900000000000006</v>
      </c>
      <c r="M53" s="652">
        <v>17</v>
      </c>
      <c r="N53" s="1213"/>
      <c r="O53" s="1213"/>
    </row>
    <row r="54" spans="2:16">
      <c r="B54" s="653" t="s">
        <v>52</v>
      </c>
      <c r="C54" s="1216">
        <v>284.61</v>
      </c>
      <c r="D54" s="330">
        <v>282</v>
      </c>
      <c r="E54" s="330">
        <v>322</v>
      </c>
      <c r="F54" s="330">
        <v>323</v>
      </c>
      <c r="G54" s="330">
        <v>303</v>
      </c>
      <c r="H54" s="330">
        <v>324</v>
      </c>
      <c r="I54" s="330">
        <v>306</v>
      </c>
      <c r="J54" s="330">
        <v>278</v>
      </c>
      <c r="K54" s="330">
        <v>248</v>
      </c>
      <c r="L54" s="330">
        <v>255</v>
      </c>
      <c r="M54" s="330">
        <v>234</v>
      </c>
      <c r="N54" s="247"/>
      <c r="O54" s="247"/>
    </row>
    <row r="55" spans="2:16">
      <c r="B55" s="10" t="s">
        <v>1910</v>
      </c>
      <c r="C55" s="23"/>
      <c r="D55" s="23"/>
      <c r="E55" s="23"/>
      <c r="F55" s="23"/>
      <c r="G55" s="23"/>
      <c r="H55" s="23"/>
      <c r="I55" s="23"/>
      <c r="J55" s="23"/>
      <c r="K55" s="23"/>
    </row>
    <row r="56" spans="2:16">
      <c r="B56" s="666" t="s">
        <v>1915</v>
      </c>
      <c r="C56" s="23"/>
    </row>
    <row r="57" spans="2:16">
      <c r="B57" s="150"/>
      <c r="C57" s="23"/>
      <c r="D57" s="23"/>
    </row>
    <row r="58" spans="2:16">
      <c r="B58" s="150"/>
    </row>
    <row r="59" spans="2:16" ht="15.6">
      <c r="B59" s="86" t="s">
        <v>1102</v>
      </c>
      <c r="C59" s="290"/>
      <c r="D59" s="290"/>
      <c r="E59" s="290"/>
      <c r="F59" s="290"/>
      <c r="G59" s="290"/>
    </row>
    <row r="60" spans="2:16">
      <c r="B60" s="81" t="s">
        <v>1126</v>
      </c>
      <c r="C60" s="7"/>
      <c r="D60" s="7"/>
      <c r="E60" s="7"/>
      <c r="F60" s="7"/>
    </row>
    <row r="61" spans="2:16">
      <c r="B61" s="654"/>
      <c r="C61" s="1564" t="s">
        <v>873</v>
      </c>
      <c r="D61" s="1564"/>
      <c r="E61" s="1564"/>
      <c r="F61" s="1564"/>
      <c r="G61" s="1539" t="s">
        <v>1127</v>
      </c>
      <c r="H61" s="1539"/>
      <c r="I61" s="1539"/>
      <c r="J61" s="1539"/>
      <c r="K61" s="1539"/>
      <c r="L61" s="1539"/>
      <c r="M61" s="1539"/>
      <c r="N61" s="1539"/>
    </row>
    <row r="62" spans="2:16" ht="15" customHeight="1">
      <c r="B62" s="654"/>
      <c r="C62" s="1539" t="s">
        <v>1128</v>
      </c>
      <c r="D62" s="1539"/>
      <c r="E62" s="1539"/>
      <c r="F62" s="1539"/>
      <c r="G62" s="1539" t="s">
        <v>1129</v>
      </c>
      <c r="H62" s="1539"/>
      <c r="I62" s="1539"/>
      <c r="J62" s="1539"/>
      <c r="K62" s="1564" t="s">
        <v>1130</v>
      </c>
      <c r="L62" s="1564"/>
      <c r="M62" s="1564"/>
      <c r="N62" s="1564"/>
    </row>
    <row r="63" spans="2:16">
      <c r="B63" s="654"/>
      <c r="C63" s="655" t="s">
        <v>1916</v>
      </c>
      <c r="D63" s="655" t="s">
        <v>1831</v>
      </c>
      <c r="E63" s="655" t="s">
        <v>1626</v>
      </c>
      <c r="F63" s="655" t="s">
        <v>559</v>
      </c>
      <c r="G63" s="655" t="s">
        <v>1916</v>
      </c>
      <c r="H63" s="655" t="s">
        <v>1831</v>
      </c>
      <c r="I63" s="655" t="s">
        <v>1626</v>
      </c>
      <c r="J63" s="655" t="s">
        <v>559</v>
      </c>
      <c r="K63" s="655" t="s">
        <v>1916</v>
      </c>
      <c r="L63" s="655" t="s">
        <v>1831</v>
      </c>
      <c r="M63" s="655" t="s">
        <v>1626</v>
      </c>
      <c r="N63" s="655" t="s">
        <v>559</v>
      </c>
    </row>
    <row r="64" spans="2:16" ht="15" thickBot="1">
      <c r="B64" s="84" t="s">
        <v>121</v>
      </c>
      <c r="C64" s="656">
        <v>3.32</v>
      </c>
      <c r="D64" s="1090">
        <v>3.54</v>
      </c>
      <c r="E64" s="1090">
        <v>3.2240300000000004</v>
      </c>
      <c r="F64" s="657">
        <v>3.1816830000000005</v>
      </c>
      <c r="G64" s="656">
        <v>1.46</v>
      </c>
      <c r="H64" s="1090">
        <v>1.1599999999999999</v>
      </c>
      <c r="I64" s="1090">
        <v>0.92315000000000003</v>
      </c>
      <c r="J64" s="657">
        <v>0.86299999999999999</v>
      </c>
      <c r="K64" s="656">
        <v>7.44</v>
      </c>
      <c r="L64" s="1090">
        <v>2.0099999999999998</v>
      </c>
      <c r="M64" s="1090">
        <v>1.9886999999999999</v>
      </c>
      <c r="N64" s="657">
        <v>8.1328944444444442</v>
      </c>
      <c r="P64" s="657"/>
    </row>
    <row r="65" spans="2:17" ht="15" thickBot="1">
      <c r="B65" s="658" t="s">
        <v>117</v>
      </c>
      <c r="C65" s="656">
        <v>2.38</v>
      </c>
      <c r="D65" s="1090">
        <v>2.4300000000000002</v>
      </c>
      <c r="E65" s="1090">
        <v>2.3951549999999999</v>
      </c>
      <c r="F65" s="657">
        <v>2.3489525000000002</v>
      </c>
      <c r="G65" s="656">
        <v>1.46</v>
      </c>
      <c r="H65" s="1090">
        <v>3.3</v>
      </c>
      <c r="I65" s="1090">
        <v>12.934559999999999</v>
      </c>
      <c r="J65" s="657">
        <v>1.2629999999999999</v>
      </c>
      <c r="K65" s="656">
        <v>10.62</v>
      </c>
      <c r="L65" s="1090">
        <v>7.05</v>
      </c>
      <c r="M65" s="1090">
        <v>6.7885095238095241</v>
      </c>
      <c r="N65" s="657">
        <v>16.299533333333333</v>
      </c>
      <c r="P65" s="657"/>
    </row>
    <row r="66" spans="2:17" ht="15" thickBot="1">
      <c r="B66" s="658" t="s">
        <v>115</v>
      </c>
      <c r="C66" s="656">
        <v>32.479999999999997</v>
      </c>
      <c r="D66" s="1090">
        <v>30.5</v>
      </c>
      <c r="E66" s="1090">
        <v>24.018307</v>
      </c>
      <c r="F66" s="657">
        <v>25.276994099999996</v>
      </c>
      <c r="G66" s="656">
        <v>456.99</v>
      </c>
      <c r="H66" s="1090">
        <v>443.59</v>
      </c>
      <c r="I66" s="1090">
        <v>456.10837499999997</v>
      </c>
      <c r="J66" s="657">
        <v>585.64201939999998</v>
      </c>
      <c r="K66" s="656">
        <v>32.64</v>
      </c>
      <c r="L66" s="1090">
        <v>18.489999999999998</v>
      </c>
      <c r="M66" s="1090">
        <v>15.744017722222221</v>
      </c>
      <c r="N66" s="657">
        <v>15.864016222222222</v>
      </c>
      <c r="P66" s="657"/>
    </row>
    <row r="67" spans="2:17" ht="15" thickBot="1">
      <c r="B67" s="658" t="s">
        <v>116</v>
      </c>
      <c r="C67" s="656">
        <v>5.97</v>
      </c>
      <c r="D67" s="1090">
        <v>5.73</v>
      </c>
      <c r="E67" s="1090">
        <v>5.3730830000000003</v>
      </c>
      <c r="F67" s="657">
        <v>5.4806849999999994</v>
      </c>
      <c r="G67" s="656">
        <v>6.93</v>
      </c>
      <c r="H67" s="1090">
        <v>6.55</v>
      </c>
      <c r="I67" s="1090">
        <v>6.2290099999999997</v>
      </c>
      <c r="J67" s="657">
        <v>5.2580000000000009</v>
      </c>
      <c r="K67" s="656">
        <v>27.32</v>
      </c>
      <c r="L67" s="1090">
        <v>22.07</v>
      </c>
      <c r="M67" s="1090">
        <v>19.932014693877552</v>
      </c>
      <c r="N67" s="657">
        <v>38.701808979591831</v>
      </c>
      <c r="P67" s="657"/>
    </row>
    <row r="68" spans="2:17" ht="15" thickBot="1">
      <c r="B68" s="658" t="s">
        <v>1132</v>
      </c>
      <c r="C68" s="656">
        <v>11.97</v>
      </c>
      <c r="D68" s="1090">
        <v>11.55</v>
      </c>
      <c r="E68" s="1090">
        <v>11.766292</v>
      </c>
      <c r="F68" s="657">
        <v>11.677101800000001</v>
      </c>
      <c r="G68" s="656">
        <v>15.27</v>
      </c>
      <c r="H68" s="1090">
        <v>13.91</v>
      </c>
      <c r="I68" s="1090">
        <v>14.152000000000001</v>
      </c>
      <c r="J68" s="657">
        <v>10.71148</v>
      </c>
      <c r="K68" s="656">
        <v>177.34</v>
      </c>
      <c r="L68" s="1090">
        <v>176.07</v>
      </c>
      <c r="M68" s="1090">
        <v>246.61612500000004</v>
      </c>
      <c r="N68" s="657">
        <v>138.61396892857144</v>
      </c>
      <c r="P68" s="657"/>
    </row>
    <row r="69" spans="2:17" ht="15" thickBot="1">
      <c r="B69" s="658" t="s">
        <v>302</v>
      </c>
      <c r="C69" s="656">
        <v>23.4</v>
      </c>
      <c r="D69" s="1090">
        <v>25.85</v>
      </c>
      <c r="E69" s="1090">
        <v>26.150099999999998</v>
      </c>
      <c r="F69" s="657">
        <v>22.037050000000001</v>
      </c>
      <c r="G69" s="656">
        <v>199.78</v>
      </c>
      <c r="H69" s="1090">
        <v>218.49</v>
      </c>
      <c r="I69" s="1090">
        <v>237.73555999999996</v>
      </c>
      <c r="J69" s="657">
        <v>174.14179999999999</v>
      </c>
      <c r="K69" s="656">
        <v>2.46</v>
      </c>
      <c r="L69" s="1090">
        <v>2.7</v>
      </c>
      <c r="M69" s="1090">
        <v>2.4894444444444446</v>
      </c>
      <c r="N69" s="657">
        <v>2.54</v>
      </c>
      <c r="P69" s="657"/>
    </row>
    <row r="70" spans="2:17" ht="15" thickBot="1">
      <c r="B70" s="658" t="s">
        <v>215</v>
      </c>
      <c r="C70" s="656">
        <v>84.22</v>
      </c>
      <c r="D70" s="1090">
        <v>81.540000000000006</v>
      </c>
      <c r="E70" s="1090">
        <v>73.991174000000001</v>
      </c>
      <c r="F70" s="657">
        <v>79.701804500000009</v>
      </c>
      <c r="G70" s="656">
        <v>935.6</v>
      </c>
      <c r="H70" s="1090">
        <v>897.24</v>
      </c>
      <c r="I70" s="1090">
        <v>760.95778199999995</v>
      </c>
      <c r="J70" s="657">
        <v>881.42529550000006</v>
      </c>
      <c r="K70" s="656">
        <v>22.23</v>
      </c>
      <c r="L70" s="1090">
        <v>26.19</v>
      </c>
      <c r="M70" s="1090">
        <v>19.149333333333331</v>
      </c>
      <c r="N70" s="657">
        <v>5.7386333333333335</v>
      </c>
      <c r="P70" s="657"/>
    </row>
    <row r="71" spans="2:17" ht="15" thickBot="1">
      <c r="B71" s="658" t="s">
        <v>1133</v>
      </c>
      <c r="C71" s="656">
        <v>41.31</v>
      </c>
      <c r="D71" s="1090">
        <v>40.21</v>
      </c>
      <c r="E71" s="1090">
        <v>37.554073000000002</v>
      </c>
      <c r="F71" s="657">
        <v>36.003631999999996</v>
      </c>
      <c r="G71" s="656">
        <v>210.37</v>
      </c>
      <c r="H71" s="1090">
        <v>180.73</v>
      </c>
      <c r="I71" s="1090">
        <v>149.670187</v>
      </c>
      <c r="J71" s="657">
        <v>147.14392599999999</v>
      </c>
      <c r="K71" s="656">
        <v>339.1</v>
      </c>
      <c r="L71" s="1090">
        <v>184.66</v>
      </c>
      <c r="M71" s="1090">
        <v>348.56022773372774</v>
      </c>
      <c r="N71" s="657">
        <v>283.32304319526628</v>
      </c>
      <c r="P71" s="657"/>
    </row>
    <row r="72" spans="2:17" ht="15" thickBot="1">
      <c r="B72" s="658" t="s">
        <v>1134</v>
      </c>
      <c r="C72" s="656">
        <v>21.13</v>
      </c>
      <c r="D72" s="1090">
        <v>21.71</v>
      </c>
      <c r="E72" s="1090">
        <v>21.967205</v>
      </c>
      <c r="F72" s="657">
        <v>22.067785000000001</v>
      </c>
      <c r="G72" s="656">
        <v>91.42</v>
      </c>
      <c r="H72" s="1090">
        <v>105.3</v>
      </c>
      <c r="I72" s="1090">
        <v>121.85797000000002</v>
      </c>
      <c r="J72" s="657">
        <v>147.88272000000001</v>
      </c>
      <c r="K72" s="656">
        <v>102.2</v>
      </c>
      <c r="L72" s="1090">
        <v>96.91</v>
      </c>
      <c r="M72" s="1090">
        <v>93.680888888888887</v>
      </c>
      <c r="N72" s="657">
        <v>87.479111111111109</v>
      </c>
      <c r="P72" s="657"/>
    </row>
    <row r="73" spans="2:17" ht="15" thickBot="1">
      <c r="B73" s="658" t="s">
        <v>120</v>
      </c>
      <c r="C73" s="656">
        <v>3.04</v>
      </c>
      <c r="D73" s="1090">
        <v>3.01</v>
      </c>
      <c r="E73" s="1090">
        <v>2.9429999999999996</v>
      </c>
      <c r="F73" s="657">
        <v>2.9104999999999999</v>
      </c>
      <c r="G73" s="656">
        <v>5.25</v>
      </c>
      <c r="H73" s="1090">
        <v>5.14</v>
      </c>
      <c r="I73" s="1090">
        <v>4.907</v>
      </c>
      <c r="J73" s="657">
        <v>4.8281200000000002</v>
      </c>
      <c r="K73" s="656">
        <v>10.73</v>
      </c>
      <c r="L73" s="1090">
        <v>10.81</v>
      </c>
      <c r="M73" s="1090">
        <v>9.7825028270874412</v>
      </c>
      <c r="N73" s="657">
        <v>9.9942951347797493</v>
      </c>
      <c r="P73" s="657"/>
    </row>
    <row r="74" spans="2:17" ht="15" thickBot="1">
      <c r="B74" s="97" t="s">
        <v>129</v>
      </c>
      <c r="C74" s="659">
        <v>55.54</v>
      </c>
      <c r="D74" s="1091">
        <f>55.87+0.44</f>
        <v>56.309999999999995</v>
      </c>
      <c r="E74" s="1091">
        <v>112.638582</v>
      </c>
      <c r="F74" s="657">
        <v>112.63904939999999</v>
      </c>
      <c r="G74" s="659">
        <v>318.33</v>
      </c>
      <c r="H74" s="1091">
        <f>321.75+1.66</f>
        <v>323.41000000000003</v>
      </c>
      <c r="I74" s="1091">
        <v>386.48165700000004</v>
      </c>
      <c r="J74" s="660">
        <v>364.28476519999998</v>
      </c>
      <c r="K74" s="1219">
        <v>122.3</v>
      </c>
      <c r="L74" s="1091">
        <f>67.6+0.08</f>
        <v>67.679999999999993</v>
      </c>
      <c r="M74" s="1091">
        <v>63.35394899382716</v>
      </c>
      <c r="N74" s="660">
        <v>69.582670771604953</v>
      </c>
      <c r="P74" s="660"/>
    </row>
    <row r="75" spans="2:17">
      <c r="B75" s="661" t="s">
        <v>440</v>
      </c>
      <c r="C75" s="661">
        <v>284.61</v>
      </c>
      <c r="D75" s="661">
        <v>282.38</v>
      </c>
      <c r="E75" s="661">
        <v>322.02100100000001</v>
      </c>
      <c r="F75" s="661">
        <v>323.32523730000003</v>
      </c>
      <c r="G75" s="661">
        <v>2242.37</v>
      </c>
      <c r="H75" s="661">
        <v>2198.83</v>
      </c>
      <c r="I75" s="661">
        <v>2151.9572509999998</v>
      </c>
      <c r="J75" s="661">
        <v>2323.4441260999997</v>
      </c>
      <c r="K75" s="661">
        <v>854.42</v>
      </c>
      <c r="L75" s="661">
        <v>614.64</v>
      </c>
      <c r="M75" s="661">
        <v>828.08571316121834</v>
      </c>
      <c r="N75" s="661">
        <v>676.26997545425854</v>
      </c>
      <c r="Q75" s="1026"/>
    </row>
    <row r="76" spans="2:17">
      <c r="B76" s="10" t="s">
        <v>1917</v>
      </c>
      <c r="C76" s="134"/>
      <c r="D76" s="134"/>
      <c r="H76" s="134"/>
      <c r="I76" s="134"/>
      <c r="M76" s="134"/>
      <c r="N76" s="134"/>
    </row>
    <row r="79" spans="2:17">
      <c r="C79" s="23"/>
    </row>
    <row r="80" spans="2:17">
      <c r="B80" s="643" t="s">
        <v>1912</v>
      </c>
      <c r="C80" s="643"/>
      <c r="D80" s="643"/>
    </row>
    <row r="81" spans="2:4">
      <c r="B81" s="643"/>
      <c r="C81" s="643"/>
      <c r="D81" s="643"/>
    </row>
    <row r="82" spans="2:4">
      <c r="B82" s="290" t="s">
        <v>596</v>
      </c>
      <c r="C82" s="81"/>
      <c r="D82" s="81"/>
    </row>
    <row r="83" spans="2:4">
      <c r="B83" s="290" t="s">
        <v>814</v>
      </c>
      <c r="C83" s="290"/>
      <c r="D83" s="290"/>
    </row>
    <row r="84" spans="2:4">
      <c r="B84" s="290" t="s">
        <v>1913</v>
      </c>
      <c r="C84" s="290"/>
      <c r="D84" s="290"/>
    </row>
    <row r="86" spans="2:4" ht="16.2">
      <c r="B86" s="159" t="s">
        <v>1135</v>
      </c>
      <c r="C86" s="1555" t="s">
        <v>817</v>
      </c>
      <c r="D86" s="1555"/>
    </row>
    <row r="87" spans="2:4">
      <c r="B87" s="159"/>
      <c r="C87" s="162" t="s">
        <v>1136</v>
      </c>
      <c r="D87" s="162" t="s">
        <v>818</v>
      </c>
    </row>
    <row r="88" spans="2:4">
      <c r="B88" s="159"/>
      <c r="C88" s="162"/>
      <c r="D88" s="162"/>
    </row>
    <row r="89" spans="2:4">
      <c r="B89" s="159" t="s">
        <v>52</v>
      </c>
      <c r="C89" s="662">
        <v>285</v>
      </c>
      <c r="D89" s="663">
        <v>100</v>
      </c>
    </row>
    <row r="90" spans="2:4" ht="15" thickBot="1">
      <c r="B90" s="646" t="s">
        <v>1113</v>
      </c>
      <c r="C90" s="1025">
        <v>0.26</v>
      </c>
      <c r="D90" s="648">
        <f>(100/C$89)*C90</f>
        <v>9.1228070175438589E-2</v>
      </c>
    </row>
    <row r="91" spans="2:4" ht="15" thickBot="1">
      <c r="B91" s="646" t="s">
        <v>1114</v>
      </c>
      <c r="C91" s="647">
        <v>44.16</v>
      </c>
      <c r="D91" s="648">
        <f t="shared" ref="D91:D99" si="0">(100/C$89)*C91</f>
        <v>15.494736842105262</v>
      </c>
    </row>
    <row r="92" spans="2:4" ht="15" thickBot="1">
      <c r="B92" s="646" t="s">
        <v>1115</v>
      </c>
      <c r="C92" s="647">
        <v>39.49</v>
      </c>
      <c r="D92" s="648">
        <f t="shared" si="0"/>
        <v>13.856140350877192</v>
      </c>
    </row>
    <row r="93" spans="2:4" ht="15" thickBot="1">
      <c r="B93" s="646" t="s">
        <v>1116</v>
      </c>
      <c r="C93" s="647">
        <v>34.409999999999997</v>
      </c>
      <c r="D93" s="648">
        <f t="shared" si="0"/>
        <v>12.073684210526315</v>
      </c>
    </row>
    <row r="94" spans="2:4" ht="15" thickBot="1">
      <c r="B94" s="646" t="s">
        <v>1117</v>
      </c>
      <c r="C94" s="647">
        <v>14.58</v>
      </c>
      <c r="D94" s="648">
        <f t="shared" si="0"/>
        <v>5.1157894736842104</v>
      </c>
    </row>
    <row r="95" spans="2:4" ht="15" thickBot="1">
      <c r="B95" s="646" t="s">
        <v>1118</v>
      </c>
      <c r="C95" s="647">
        <v>42</v>
      </c>
      <c r="D95" s="648">
        <f t="shared" si="0"/>
        <v>14.736842105263158</v>
      </c>
    </row>
    <row r="96" spans="2:4" ht="15" thickBot="1">
      <c r="B96" s="646" t="s">
        <v>1119</v>
      </c>
      <c r="C96" s="647">
        <v>23.16</v>
      </c>
      <c r="D96" s="648">
        <f t="shared" si="0"/>
        <v>8.1263157894736846</v>
      </c>
    </row>
    <row r="97" spans="2:15" ht="15" thickBot="1">
      <c r="B97" s="646" t="s">
        <v>1120</v>
      </c>
      <c r="C97" s="647">
        <v>21.33</v>
      </c>
      <c r="D97" s="648">
        <f t="shared" si="0"/>
        <v>7.4842105263157883</v>
      </c>
    </row>
    <row r="98" spans="2:15" ht="15" thickBot="1">
      <c r="B98" s="646" t="s">
        <v>1756</v>
      </c>
      <c r="C98" s="647">
        <v>13.64</v>
      </c>
      <c r="D98" s="648">
        <f t="shared" si="0"/>
        <v>4.7859649122807015</v>
      </c>
    </row>
    <row r="99" spans="2:15" ht="15" thickBot="1">
      <c r="B99" s="664" t="s">
        <v>354</v>
      </c>
      <c r="C99" s="665">
        <v>52</v>
      </c>
      <c r="D99" s="648">
        <f t="shared" si="0"/>
        <v>18.245614035087719</v>
      </c>
    </row>
    <row r="100" spans="2:15">
      <c r="B100" s="10" t="s">
        <v>1910</v>
      </c>
    </row>
    <row r="101" spans="2:15">
      <c r="B101" s="666" t="s">
        <v>1914</v>
      </c>
      <c r="C101" s="23"/>
      <c r="D101" s="23"/>
    </row>
    <row r="104" spans="2:15" ht="15.6">
      <c r="B104" s="86" t="s">
        <v>1137</v>
      </c>
    </row>
    <row r="107" spans="2:15" ht="15.6">
      <c r="B107" s="86" t="s">
        <v>581</v>
      </c>
    </row>
    <row r="108" spans="2:15">
      <c r="B108" s="260" t="s">
        <v>1138</v>
      </c>
    </row>
    <row r="109" spans="2:15">
      <c r="B109" s="153"/>
      <c r="C109" s="153">
        <v>2024</v>
      </c>
      <c r="D109" s="153">
        <v>2023</v>
      </c>
      <c r="E109" s="141">
        <v>2022</v>
      </c>
      <c r="F109" s="141">
        <v>2021</v>
      </c>
      <c r="G109" s="141">
        <v>2020</v>
      </c>
      <c r="H109" s="141">
        <v>2019</v>
      </c>
      <c r="I109" s="141">
        <v>2018</v>
      </c>
      <c r="J109" s="141">
        <v>2017</v>
      </c>
      <c r="K109" s="141">
        <v>2016</v>
      </c>
      <c r="L109" s="141">
        <v>2015</v>
      </c>
      <c r="M109" s="141">
        <v>2014</v>
      </c>
      <c r="N109" s="870"/>
      <c r="O109" s="870"/>
    </row>
    <row r="110" spans="2:15" ht="15" thickBot="1">
      <c r="B110" s="263" t="s">
        <v>585</v>
      </c>
      <c r="C110" s="1150">
        <v>41988</v>
      </c>
      <c r="D110" s="1363">
        <v>23556</v>
      </c>
      <c r="E110" s="44">
        <v>28205</v>
      </c>
      <c r="F110" s="44">
        <v>23667</v>
      </c>
      <c r="G110" s="44">
        <v>12911</v>
      </c>
      <c r="H110" s="204">
        <v>20033</v>
      </c>
      <c r="I110" s="204">
        <v>13026</v>
      </c>
      <c r="J110" s="204">
        <v>9714</v>
      </c>
      <c r="K110" s="204">
        <v>8693</v>
      </c>
      <c r="L110" s="204">
        <v>6392</v>
      </c>
      <c r="M110" s="204">
        <v>5622</v>
      </c>
      <c r="N110" s="309"/>
      <c r="O110" s="309"/>
    </row>
    <row r="111" spans="2:15" ht="15" thickBot="1">
      <c r="B111" s="263" t="s">
        <v>583</v>
      </c>
      <c r="C111" s="1150">
        <v>2652</v>
      </c>
      <c r="D111" s="1363">
        <v>1721</v>
      </c>
      <c r="E111" s="44">
        <v>1545</v>
      </c>
      <c r="F111" s="44">
        <v>1085</v>
      </c>
      <c r="G111" s="44">
        <v>1093</v>
      </c>
      <c r="H111" s="204">
        <v>3565</v>
      </c>
      <c r="I111" s="204">
        <v>3125</v>
      </c>
      <c r="J111" s="204">
        <v>3617</v>
      </c>
      <c r="K111" s="204">
        <v>4336</v>
      </c>
      <c r="L111" s="204">
        <v>5001</v>
      </c>
      <c r="M111" s="204">
        <v>4178</v>
      </c>
      <c r="N111" s="309"/>
      <c r="O111" s="309"/>
    </row>
    <row r="112" spans="2:15" ht="15" thickBot="1">
      <c r="B112" s="263" t="s">
        <v>1139</v>
      </c>
      <c r="C112" s="1150">
        <v>5370</v>
      </c>
      <c r="D112" s="1363">
        <v>5537</v>
      </c>
      <c r="E112" s="44">
        <v>3696</v>
      </c>
      <c r="F112" s="44">
        <v>2535</v>
      </c>
      <c r="G112" s="44">
        <v>1896</v>
      </c>
      <c r="H112" s="204">
        <v>3855</v>
      </c>
      <c r="I112" s="204">
        <v>3819</v>
      </c>
      <c r="J112" s="204">
        <v>4302</v>
      </c>
      <c r="K112" s="204">
        <v>4521</v>
      </c>
      <c r="L112" s="204">
        <v>4200</v>
      </c>
      <c r="M112" s="204">
        <v>3139</v>
      </c>
      <c r="N112" s="309"/>
      <c r="O112" s="309"/>
    </row>
    <row r="113" spans="2:15">
      <c r="B113" s="264" t="s">
        <v>733</v>
      </c>
      <c r="C113" s="1152">
        <v>815</v>
      </c>
      <c r="D113" s="1376">
        <v>778</v>
      </c>
      <c r="E113" s="109">
        <v>1319</v>
      </c>
      <c r="F113" s="109">
        <v>1013</v>
      </c>
      <c r="G113" s="109">
        <v>689</v>
      </c>
      <c r="H113" s="265">
        <v>724</v>
      </c>
      <c r="I113" s="265">
        <v>550</v>
      </c>
      <c r="J113" s="265">
        <v>551</v>
      </c>
      <c r="K113" s="265">
        <v>817</v>
      </c>
      <c r="L113" s="265">
        <v>509</v>
      </c>
      <c r="M113" s="265">
        <v>723</v>
      </c>
      <c r="N113" s="309"/>
      <c r="O113" s="309"/>
    </row>
    <row r="114" spans="2:15">
      <c r="B114" s="478" t="s">
        <v>52</v>
      </c>
      <c r="C114" s="266">
        <f>C110+C111+C112+C113</f>
        <v>50825</v>
      </c>
      <c r="D114" s="266">
        <f>D110+D111+D112+D113</f>
        <v>31592</v>
      </c>
      <c r="E114" s="266">
        <f>E110+E111+E112+E113</f>
        <v>34765</v>
      </c>
      <c r="F114" s="266">
        <v>28300</v>
      </c>
      <c r="G114" s="266">
        <v>16589</v>
      </c>
      <c r="H114" s="266">
        <v>28177</v>
      </c>
      <c r="I114" s="266">
        <v>20520</v>
      </c>
      <c r="J114" s="266">
        <v>18184</v>
      </c>
      <c r="K114" s="266">
        <v>18367</v>
      </c>
      <c r="L114" s="266">
        <v>16102</v>
      </c>
      <c r="M114" s="266">
        <v>13662</v>
      </c>
      <c r="N114" s="126"/>
      <c r="O114" s="126"/>
    </row>
    <row r="115" spans="2:15">
      <c r="B115" s="193" t="s">
        <v>2020</v>
      </c>
    </row>
    <row r="117" spans="2:15" ht="15.6">
      <c r="B117" s="86" t="s">
        <v>587</v>
      </c>
    </row>
    <row r="118" spans="2:15">
      <c r="B118" s="260" t="s">
        <v>1138</v>
      </c>
    </row>
    <row r="119" spans="2:15">
      <c r="B119" s="153"/>
      <c r="C119" s="153">
        <v>2024</v>
      </c>
      <c r="D119" s="153">
        <v>2023</v>
      </c>
      <c r="E119" s="141">
        <v>2022</v>
      </c>
      <c r="F119" s="141">
        <v>2021</v>
      </c>
      <c r="G119" s="141">
        <v>2020</v>
      </c>
      <c r="H119" s="141">
        <v>2019</v>
      </c>
      <c r="I119" s="141">
        <v>2018</v>
      </c>
      <c r="J119" s="141">
        <v>2017</v>
      </c>
      <c r="K119" s="141">
        <v>2016</v>
      </c>
      <c r="L119" s="141">
        <v>2015</v>
      </c>
      <c r="M119" s="141">
        <v>2014</v>
      </c>
      <c r="N119" s="870"/>
      <c r="O119" s="870"/>
    </row>
    <row r="120" spans="2:15" ht="15" thickBot="1">
      <c r="B120" s="263" t="s">
        <v>583</v>
      </c>
      <c r="C120" s="1150">
        <v>22038</v>
      </c>
      <c r="D120" s="1363">
        <v>22056</v>
      </c>
      <c r="E120" s="44">
        <v>21166</v>
      </c>
      <c r="F120" s="44">
        <v>16741</v>
      </c>
      <c r="G120" s="44">
        <v>12003</v>
      </c>
      <c r="H120" s="204">
        <v>17285</v>
      </c>
      <c r="I120" s="204">
        <v>18254</v>
      </c>
      <c r="J120" s="204">
        <v>22631</v>
      </c>
      <c r="K120" s="204">
        <v>25561</v>
      </c>
      <c r="L120" s="204">
        <v>31804</v>
      </c>
      <c r="M120" s="204">
        <v>35702</v>
      </c>
      <c r="N120" s="309"/>
      <c r="O120" s="309"/>
    </row>
    <row r="121" spans="2:15" ht="15" thickBot="1">
      <c r="B121" s="263" t="s">
        <v>733</v>
      </c>
      <c r="C121" s="1150">
        <v>30417</v>
      </c>
      <c r="D121" s="1363">
        <v>28706</v>
      </c>
      <c r="E121" s="44">
        <v>43586</v>
      </c>
      <c r="F121" s="44">
        <v>41064</v>
      </c>
      <c r="G121" s="44">
        <v>30685</v>
      </c>
      <c r="H121" s="204">
        <v>35286</v>
      </c>
      <c r="I121" s="204">
        <v>33234</v>
      </c>
      <c r="J121" s="204">
        <v>33799</v>
      </c>
      <c r="K121" s="204">
        <v>34220</v>
      </c>
      <c r="L121" s="204">
        <v>23681</v>
      </c>
      <c r="M121" s="204">
        <v>11326</v>
      </c>
      <c r="N121" s="309"/>
      <c r="O121" s="309"/>
    </row>
    <row r="122" spans="2:15" ht="15" thickBot="1">
      <c r="B122" s="263" t="s">
        <v>585</v>
      </c>
      <c r="C122" s="1150">
        <v>29364</v>
      </c>
      <c r="D122" s="1363">
        <v>26750</v>
      </c>
      <c r="E122" s="44">
        <v>26286</v>
      </c>
      <c r="F122" s="44">
        <v>24572</v>
      </c>
      <c r="G122" s="44">
        <v>20755</v>
      </c>
      <c r="H122" s="204">
        <v>17234</v>
      </c>
      <c r="I122" s="204">
        <v>15950</v>
      </c>
      <c r="J122" s="204">
        <v>12050</v>
      </c>
      <c r="K122" s="204">
        <v>10299</v>
      </c>
      <c r="L122" s="204">
        <v>9241</v>
      </c>
      <c r="M122" s="204">
        <v>8174</v>
      </c>
      <c r="N122" s="309"/>
      <c r="O122" s="309"/>
    </row>
    <row r="123" spans="2:15">
      <c r="B123" s="264" t="s">
        <v>1139</v>
      </c>
      <c r="C123" s="1152">
        <v>515</v>
      </c>
      <c r="D123" s="1376">
        <v>759</v>
      </c>
      <c r="E123" s="109">
        <v>396</v>
      </c>
      <c r="F123" s="109">
        <v>549</v>
      </c>
      <c r="G123" s="109">
        <v>718</v>
      </c>
      <c r="H123" s="265">
        <v>1072</v>
      </c>
      <c r="I123" s="265">
        <v>1053</v>
      </c>
      <c r="J123" s="265">
        <v>1095</v>
      </c>
      <c r="K123" s="265">
        <v>926</v>
      </c>
      <c r="L123" s="265">
        <v>848</v>
      </c>
      <c r="M123" s="265">
        <v>980</v>
      </c>
      <c r="N123" s="309"/>
      <c r="O123" s="309"/>
    </row>
    <row r="124" spans="2:15">
      <c r="B124" s="261" t="s">
        <v>52</v>
      </c>
      <c r="C124" s="266">
        <f>C120+C121+C122+C123</f>
        <v>82334</v>
      </c>
      <c r="D124" s="266">
        <f>D120+D121+D122+D123</f>
        <v>78271</v>
      </c>
      <c r="E124" s="266">
        <f>E120+E121+E122+E123</f>
        <v>91434</v>
      </c>
      <c r="F124" s="266">
        <v>82926</v>
      </c>
      <c r="G124" s="266">
        <v>64161</v>
      </c>
      <c r="H124" s="266">
        <v>70877</v>
      </c>
      <c r="I124" s="266">
        <v>68491</v>
      </c>
      <c r="J124" s="266">
        <v>69575</v>
      </c>
      <c r="K124" s="266">
        <v>71006</v>
      </c>
      <c r="L124" s="266">
        <v>65574</v>
      </c>
      <c r="M124" s="266">
        <v>56182</v>
      </c>
      <c r="N124" s="126"/>
      <c r="O124" s="126"/>
    </row>
    <row r="125" spans="2:15">
      <c r="B125" s="193" t="s">
        <v>2020</v>
      </c>
    </row>
    <row r="126" spans="2:15">
      <c r="B126" s="193"/>
    </row>
    <row r="127" spans="2:15">
      <c r="B127" s="193"/>
    </row>
    <row r="128" spans="2:15" ht="15.6">
      <c r="B128" s="86" t="s">
        <v>587</v>
      </c>
    </row>
    <row r="129" spans="2:15">
      <c r="B129" s="260" t="s">
        <v>589</v>
      </c>
      <c r="C129" s="23"/>
      <c r="D129" s="23"/>
      <c r="E129" s="23"/>
      <c r="F129" s="23"/>
      <c r="G129" s="23"/>
      <c r="H129" s="23"/>
    </row>
    <row r="130" spans="2:15">
      <c r="B130" s="153" t="s">
        <v>1140</v>
      </c>
      <c r="C130" s="153">
        <v>2024</v>
      </c>
      <c r="D130" s="153">
        <v>2023</v>
      </c>
      <c r="E130" s="141">
        <v>2022</v>
      </c>
      <c r="F130" s="141">
        <v>2021</v>
      </c>
      <c r="G130" s="141">
        <v>2020</v>
      </c>
      <c r="H130" s="141">
        <v>2019</v>
      </c>
      <c r="I130" s="141">
        <v>2018</v>
      </c>
      <c r="J130" s="141">
        <v>2017</v>
      </c>
      <c r="K130" s="141">
        <v>2016</v>
      </c>
      <c r="L130" s="141">
        <v>2015</v>
      </c>
      <c r="M130" s="141">
        <v>2014</v>
      </c>
      <c r="N130" s="870"/>
      <c r="O130" s="870"/>
    </row>
    <row r="131" spans="2:15" ht="15" thickBot="1">
      <c r="B131" s="263" t="s">
        <v>1620</v>
      </c>
      <c r="C131" s="1275">
        <v>5418</v>
      </c>
      <c r="D131" s="1377">
        <v>3700</v>
      </c>
      <c r="E131" s="44">
        <v>4693</v>
      </c>
      <c r="F131" s="44">
        <v>4306</v>
      </c>
      <c r="G131" s="44">
        <v>1642</v>
      </c>
      <c r="H131" s="204">
        <v>2508</v>
      </c>
      <c r="I131" s="204">
        <v>2605</v>
      </c>
      <c r="J131" s="204">
        <v>2440</v>
      </c>
      <c r="K131" s="204">
        <v>3238</v>
      </c>
      <c r="L131" s="204">
        <v>4777</v>
      </c>
      <c r="M131" s="204">
        <v>6571</v>
      </c>
      <c r="N131" s="309"/>
      <c r="O131" s="309"/>
    </row>
    <row r="132" spans="2:15" ht="15" thickBot="1">
      <c r="B132" s="263" t="s">
        <v>20</v>
      </c>
      <c r="C132" s="1275">
        <v>1781</v>
      </c>
      <c r="D132" s="1377">
        <v>2184</v>
      </c>
      <c r="E132" s="44">
        <v>1694</v>
      </c>
      <c r="F132" s="44">
        <v>1893</v>
      </c>
      <c r="G132" s="44">
        <v>1570</v>
      </c>
      <c r="H132" s="204">
        <v>2300</v>
      </c>
      <c r="I132" s="204">
        <v>3132</v>
      </c>
      <c r="J132" s="204">
        <v>4603</v>
      </c>
      <c r="K132" s="204">
        <v>5491</v>
      </c>
      <c r="L132" s="204">
        <v>5340</v>
      </c>
      <c r="M132" s="204">
        <v>4565</v>
      </c>
      <c r="N132" s="309"/>
      <c r="O132" s="309"/>
    </row>
    <row r="133" spans="2:15" ht="15" thickBot="1">
      <c r="B133" s="263" t="s">
        <v>836</v>
      </c>
      <c r="C133" s="1275">
        <v>3051</v>
      </c>
      <c r="D133" s="1377">
        <v>2686</v>
      </c>
      <c r="E133" s="44">
        <v>2200</v>
      </c>
      <c r="F133" s="44">
        <v>1812</v>
      </c>
      <c r="G133" s="44">
        <v>1903</v>
      </c>
      <c r="H133" s="204">
        <v>2266</v>
      </c>
      <c r="I133" s="204">
        <v>1648</v>
      </c>
      <c r="J133" s="204">
        <v>2465</v>
      </c>
      <c r="K133" s="204">
        <v>2147</v>
      </c>
      <c r="L133" s="204">
        <v>1869</v>
      </c>
      <c r="M133" s="204">
        <v>1851</v>
      </c>
      <c r="N133" s="309"/>
      <c r="O133" s="309"/>
    </row>
    <row r="134" spans="2:15" ht="15" thickBot="1">
      <c r="B134" s="263" t="s">
        <v>1141</v>
      </c>
      <c r="C134" s="1275">
        <v>1990</v>
      </c>
      <c r="D134" s="1377">
        <v>2441</v>
      </c>
      <c r="E134" s="44">
        <v>2120</v>
      </c>
      <c r="F134" s="44">
        <v>1697</v>
      </c>
      <c r="G134" s="44">
        <v>1211</v>
      </c>
      <c r="H134" s="204">
        <v>1711</v>
      </c>
      <c r="I134" s="204">
        <v>1848</v>
      </c>
      <c r="J134" s="204">
        <v>1854</v>
      </c>
      <c r="K134" s="204">
        <v>1600</v>
      </c>
      <c r="L134" s="204">
        <v>1701</v>
      </c>
      <c r="M134" s="204">
        <v>1295</v>
      </c>
      <c r="N134" s="309"/>
      <c r="O134" s="309"/>
    </row>
    <row r="135" spans="2:15" ht="15" thickBot="1">
      <c r="B135" s="263" t="s">
        <v>485</v>
      </c>
      <c r="C135" s="1275">
        <v>3290</v>
      </c>
      <c r="D135" s="1377">
        <v>3315</v>
      </c>
      <c r="E135" s="44">
        <v>3145</v>
      </c>
      <c r="F135" s="44">
        <v>1479</v>
      </c>
      <c r="G135" s="44">
        <v>1117</v>
      </c>
      <c r="H135" s="204">
        <v>2045</v>
      </c>
      <c r="I135" s="204">
        <v>1795</v>
      </c>
      <c r="J135" s="204">
        <v>1710</v>
      </c>
      <c r="K135" s="204">
        <v>1254</v>
      </c>
      <c r="L135" s="204">
        <v>989</v>
      </c>
      <c r="M135" s="204">
        <v>947</v>
      </c>
      <c r="N135" s="309"/>
      <c r="O135" s="309"/>
    </row>
    <row r="136" spans="2:15" ht="15" thickBot="1">
      <c r="B136" s="263" t="s">
        <v>1143</v>
      </c>
      <c r="C136" s="1275">
        <v>122</v>
      </c>
      <c r="D136" s="1377">
        <v>780</v>
      </c>
      <c r="E136" s="44">
        <v>461</v>
      </c>
      <c r="F136" s="44">
        <v>678</v>
      </c>
      <c r="G136" s="44">
        <v>302</v>
      </c>
      <c r="H136" s="204">
        <v>39</v>
      </c>
      <c r="I136" s="204">
        <v>34</v>
      </c>
      <c r="J136" s="204">
        <v>12</v>
      </c>
      <c r="K136" s="204">
        <v>17</v>
      </c>
      <c r="L136" s="204">
        <v>5</v>
      </c>
      <c r="M136" s="204">
        <v>4</v>
      </c>
      <c r="N136" s="309"/>
      <c r="O136" s="309"/>
    </row>
    <row r="137" spans="2:15" ht="15" thickBot="1">
      <c r="B137" s="263" t="s">
        <v>13</v>
      </c>
      <c r="C137" s="1275">
        <v>677</v>
      </c>
      <c r="D137" s="1377">
        <v>1172</v>
      </c>
      <c r="E137" s="44">
        <v>1389</v>
      </c>
      <c r="F137" s="44">
        <v>437</v>
      </c>
      <c r="G137" s="44">
        <v>158</v>
      </c>
      <c r="H137" s="204">
        <v>141</v>
      </c>
      <c r="I137" s="204">
        <v>334</v>
      </c>
      <c r="J137" s="204">
        <v>638</v>
      </c>
      <c r="K137" s="204">
        <v>900</v>
      </c>
      <c r="L137" s="204">
        <v>2380</v>
      </c>
      <c r="M137" s="204">
        <v>3483</v>
      </c>
      <c r="N137" s="309"/>
      <c r="O137" s="309"/>
    </row>
    <row r="138" spans="2:15" ht="15" thickBot="1">
      <c r="B138" s="263" t="s">
        <v>10</v>
      </c>
      <c r="C138" s="1275">
        <v>130</v>
      </c>
      <c r="D138" s="1377">
        <v>120</v>
      </c>
      <c r="E138" s="44">
        <v>176</v>
      </c>
      <c r="F138" s="44">
        <v>415</v>
      </c>
      <c r="G138" s="44">
        <v>618</v>
      </c>
      <c r="H138" s="204">
        <v>819</v>
      </c>
      <c r="I138" s="204">
        <v>556</v>
      </c>
      <c r="J138" s="204">
        <v>906</v>
      </c>
      <c r="K138" s="204">
        <v>1822</v>
      </c>
      <c r="L138" s="204">
        <v>3603</v>
      </c>
      <c r="M138" s="204">
        <v>4768</v>
      </c>
      <c r="N138" s="309"/>
      <c r="O138" s="309"/>
    </row>
    <row r="139" spans="2:15" ht="15" thickBot="1">
      <c r="B139" s="263" t="s">
        <v>32</v>
      </c>
      <c r="C139" s="1275">
        <v>371</v>
      </c>
      <c r="D139" s="1377">
        <v>301</v>
      </c>
      <c r="E139" s="44">
        <v>434</v>
      </c>
      <c r="F139" s="44">
        <v>396</v>
      </c>
      <c r="G139" s="44">
        <v>273</v>
      </c>
      <c r="H139" s="204">
        <v>293</v>
      </c>
      <c r="I139" s="204">
        <v>423</v>
      </c>
      <c r="J139" s="204">
        <v>1060</v>
      </c>
      <c r="K139" s="204">
        <v>1433</v>
      </c>
      <c r="L139" s="204">
        <v>1124</v>
      </c>
      <c r="M139" s="204">
        <v>961</v>
      </c>
      <c r="N139" s="309"/>
      <c r="O139" s="309"/>
    </row>
    <row r="140" spans="2:15" ht="15" thickBot="1">
      <c r="B140" s="263" t="s">
        <v>833</v>
      </c>
      <c r="C140" s="1275">
        <v>438</v>
      </c>
      <c r="D140" s="1377">
        <v>564</v>
      </c>
      <c r="E140" s="44">
        <v>518</v>
      </c>
      <c r="F140" s="44">
        <v>363</v>
      </c>
      <c r="G140" s="44">
        <v>303</v>
      </c>
      <c r="H140" s="204">
        <v>417</v>
      </c>
      <c r="I140" s="204">
        <v>368</v>
      </c>
      <c r="J140" s="204">
        <v>247</v>
      </c>
      <c r="K140" s="204">
        <v>175</v>
      </c>
      <c r="L140" s="204">
        <v>88</v>
      </c>
      <c r="M140" s="204">
        <v>121</v>
      </c>
      <c r="N140" s="309"/>
      <c r="O140" s="309"/>
    </row>
    <row r="141" spans="2:15" ht="15" thickBot="1">
      <c r="B141" s="268" t="s">
        <v>1142</v>
      </c>
      <c r="C141" s="1276">
        <v>639</v>
      </c>
      <c r="D141" s="1378">
        <v>587</v>
      </c>
      <c r="E141" s="75">
        <v>406</v>
      </c>
      <c r="F141" s="75">
        <v>328</v>
      </c>
      <c r="G141" s="75">
        <v>325</v>
      </c>
      <c r="H141" s="667">
        <v>809</v>
      </c>
      <c r="I141" s="667">
        <v>960</v>
      </c>
      <c r="J141" s="667">
        <v>967</v>
      </c>
      <c r="K141" s="667">
        <v>591</v>
      </c>
      <c r="L141" s="667">
        <v>589</v>
      </c>
      <c r="M141" s="667">
        <v>646</v>
      </c>
      <c r="N141" s="309"/>
      <c r="O141" s="309"/>
    </row>
    <row r="142" spans="2:15">
      <c r="B142" s="154" t="s">
        <v>129</v>
      </c>
      <c r="C142" s="1175">
        <f>C143-C141-C140-C139-C138-C137-C136-C135-C134-C133-C132-C131</f>
        <v>4131</v>
      </c>
      <c r="D142" s="1169">
        <f>D143-D141-D140-D139-D138-D137-D136-D135-D134-D133-D132-D131</f>
        <v>4206</v>
      </c>
      <c r="E142" s="39">
        <f>E143-E141-E140-E139-E138-E137-E136-E135-E134-E133-E132-E131</f>
        <v>3930</v>
      </c>
      <c r="F142" s="39">
        <v>2935</v>
      </c>
      <c r="G142" s="39">
        <v>2583</v>
      </c>
      <c r="H142" s="309">
        <v>3935</v>
      </c>
      <c r="I142" s="309">
        <v>4547</v>
      </c>
      <c r="J142" s="309">
        <v>5714</v>
      </c>
      <c r="K142" s="309">
        <v>6892</v>
      </c>
      <c r="L142" s="309">
        <v>9341</v>
      </c>
      <c r="M142" s="309">
        <v>10493</v>
      </c>
      <c r="N142" s="309"/>
      <c r="O142" s="309"/>
    </row>
    <row r="143" spans="2:15">
      <c r="B143" s="261" t="s">
        <v>52</v>
      </c>
      <c r="C143" s="1206">
        <v>22038</v>
      </c>
      <c r="D143" s="1206">
        <v>22056</v>
      </c>
      <c r="E143" s="266">
        <v>21166</v>
      </c>
      <c r="F143" s="266">
        <v>16741</v>
      </c>
      <c r="G143" s="266">
        <v>12003</v>
      </c>
      <c r="H143" s="266">
        <v>17285</v>
      </c>
      <c r="I143" s="266">
        <v>18254</v>
      </c>
      <c r="J143" s="266">
        <v>22613</v>
      </c>
      <c r="K143" s="266">
        <v>25561</v>
      </c>
      <c r="L143" s="266">
        <v>31804</v>
      </c>
      <c r="M143" s="266">
        <v>35702</v>
      </c>
      <c r="N143" s="126"/>
      <c r="O143" s="126"/>
    </row>
    <row r="144" spans="2:15">
      <c r="B144" s="193" t="s">
        <v>2020</v>
      </c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</row>
  </sheetData>
  <mergeCells count="6">
    <mergeCell ref="C86:D86"/>
    <mergeCell ref="C61:F61"/>
    <mergeCell ref="G61:N61"/>
    <mergeCell ref="K62:N62"/>
    <mergeCell ref="G62:J62"/>
    <mergeCell ref="C62:F62"/>
  </mergeCells>
  <phoneticPr fontId="138" type="noConversion"/>
  <hyperlinks>
    <hyperlink ref="B21" r:id="rId1" display="Source: Worldbank, 2017, World Development Indicators " xr:uid="{00000000-0004-0000-1200-000000000000}"/>
    <hyperlink ref="B30" r:id="rId2" xr:uid="{00000000-0004-0000-1200-000001000000}"/>
    <hyperlink ref="B144" r:id="rId3" display="Source: ITC Trade Map, 2016" xr:uid="{00000000-0004-0000-1200-000002000000}"/>
    <hyperlink ref="B125" r:id="rId4" display="Source: ITC Trade Map, 2016" xr:uid="{00000000-0004-0000-1200-000003000000}"/>
    <hyperlink ref="B115" r:id="rId5" display="Source: ITC Trade Map, 2016" xr:uid="{00000000-0004-0000-1200-000004000000}"/>
    <hyperlink ref="B55" r:id="rId6" display="Source: National Horticulture Board, India, Area Production Statistics" xr:uid="{00000000-0004-0000-1200-000005000000}"/>
    <hyperlink ref="B76" r:id="rId7" display="Source: National Horticulture Board, India, Indian Horticulture Database " xr:uid="{00000000-0004-0000-1200-000006000000}"/>
    <hyperlink ref="B100" r:id="rId8" display="Source: National Horticulture Board, India, Area Production Statistics" xr:uid="{00000000-0004-0000-1200-000007000000}"/>
  </hyperlinks>
  <pageMargins left="0.7" right="0.7" top="0.78740157499999996" bottom="0.78740157499999996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50"/>
  </sheetPr>
  <dimension ref="B1:L47"/>
  <sheetViews>
    <sheetView showGridLines="0" topLeftCell="A14" zoomScaleNormal="100" workbookViewId="0">
      <selection activeCell="B42" sqref="B42"/>
    </sheetView>
  </sheetViews>
  <sheetFormatPr defaultColWidth="11.44140625" defaultRowHeight="14.4"/>
  <cols>
    <col min="1" max="1" width="6.33203125" customWidth="1"/>
    <col min="2" max="2" width="31.5546875" customWidth="1"/>
    <col min="3" max="3" width="7.33203125" customWidth="1"/>
    <col min="4" max="4" width="8.6640625" customWidth="1"/>
    <col min="5" max="5" width="7.33203125" customWidth="1"/>
    <col min="6" max="6" width="7.109375" customWidth="1"/>
    <col min="7" max="16" width="5.5546875" customWidth="1"/>
  </cols>
  <sheetData>
    <row r="1" spans="2:6" ht="15" customHeight="1">
      <c r="C1" s="83"/>
    </row>
    <row r="2" spans="2:6" ht="15" customHeight="1">
      <c r="B2" s="83"/>
      <c r="C2" s="83"/>
    </row>
    <row r="3" spans="2:6" ht="15" customHeight="1">
      <c r="B3" s="83" t="s">
        <v>174</v>
      </c>
      <c r="C3" s="83"/>
      <c r="F3" s="1069"/>
    </row>
    <row r="4" spans="2:6" ht="15" customHeight="1">
      <c r="B4" s="83"/>
      <c r="C4" s="83"/>
    </row>
    <row r="5" spans="2:6" ht="15" customHeight="1">
      <c r="B5" s="83" t="s">
        <v>56</v>
      </c>
      <c r="C5" s="93"/>
    </row>
    <row r="6" spans="2:6" ht="15" customHeight="1">
      <c r="B6" s="93" t="s">
        <v>137</v>
      </c>
      <c r="C6" s="93"/>
    </row>
    <row r="7" spans="2:6" ht="15" customHeight="1">
      <c r="B7" s="174"/>
      <c r="C7" s="174">
        <v>2010</v>
      </c>
    </row>
    <row r="8" spans="2:6" ht="15.75" customHeight="1" thickBot="1">
      <c r="B8" s="71" t="s">
        <v>175</v>
      </c>
      <c r="C8" s="143">
        <v>357</v>
      </c>
    </row>
    <row r="9" spans="2:6" ht="15" customHeight="1" thickBot="1">
      <c r="B9" s="131" t="s">
        <v>176</v>
      </c>
      <c r="C9" s="147">
        <v>59</v>
      </c>
    </row>
    <row r="10" spans="2:6" ht="15" customHeight="1" thickBot="1">
      <c r="B10" s="131" t="s">
        <v>177</v>
      </c>
      <c r="C10" s="51">
        <v>103</v>
      </c>
    </row>
    <row r="11" spans="2:6" ht="17.25" customHeight="1" thickBot="1">
      <c r="B11" s="71" t="s">
        <v>178</v>
      </c>
      <c r="C11" s="50">
        <v>193</v>
      </c>
    </row>
    <row r="12" spans="2:6" ht="15.75" customHeight="1" thickBot="1">
      <c r="B12" s="131" t="s">
        <v>348</v>
      </c>
      <c r="C12" s="51">
        <v>56</v>
      </c>
    </row>
    <row r="13" spans="2:6" ht="15.75" customHeight="1" thickBot="1">
      <c r="B13" s="131" t="s">
        <v>349</v>
      </c>
      <c r="C13" s="51">
        <v>53</v>
      </c>
    </row>
    <row r="14" spans="2:6" ht="15" thickBot="1">
      <c r="B14" s="131" t="s">
        <v>347</v>
      </c>
      <c r="C14" s="51">
        <v>34</v>
      </c>
    </row>
    <row r="15" spans="2:6" ht="15" thickBot="1">
      <c r="B15" s="131" t="s">
        <v>350</v>
      </c>
      <c r="C15" s="51">
        <v>32</v>
      </c>
      <c r="F15" s="82"/>
    </row>
    <row r="16" spans="2:6">
      <c r="B16" s="135" t="s">
        <v>351</v>
      </c>
      <c r="C16" s="132">
        <v>18</v>
      </c>
    </row>
    <row r="17" spans="2:12">
      <c r="B17" s="172" t="s">
        <v>75</v>
      </c>
      <c r="C17" s="174"/>
    </row>
    <row r="18" spans="2:12" ht="15" thickBot="1">
      <c r="B18" s="131" t="s">
        <v>180</v>
      </c>
      <c r="C18" s="51">
        <v>2</v>
      </c>
    </row>
    <row r="19" spans="2:12" ht="15" thickBot="1">
      <c r="B19" s="71" t="s">
        <v>64</v>
      </c>
      <c r="C19" s="52">
        <v>58</v>
      </c>
      <c r="J19" s="102"/>
      <c r="K19" s="102"/>
    </row>
    <row r="20" spans="2:12" ht="15" thickBot="1">
      <c r="B20" s="131" t="s">
        <v>352</v>
      </c>
      <c r="C20" s="51">
        <v>15</v>
      </c>
      <c r="J20" s="102"/>
      <c r="K20" s="102"/>
    </row>
    <row r="21" spans="2:12" ht="15" thickBot="1">
      <c r="B21" s="131" t="s">
        <v>157</v>
      </c>
      <c r="C21" s="51">
        <v>8</v>
      </c>
      <c r="J21" s="102"/>
      <c r="K21" s="102"/>
    </row>
    <row r="22" spans="2:12" ht="15" thickBot="1">
      <c r="B22" s="131" t="s">
        <v>353</v>
      </c>
      <c r="C22" s="51">
        <v>6</v>
      </c>
    </row>
    <row r="23" spans="2:12" ht="15" thickBot="1">
      <c r="B23" s="131" t="s">
        <v>354</v>
      </c>
      <c r="C23" s="51">
        <v>29</v>
      </c>
    </row>
    <row r="24" spans="2:12">
      <c r="B24" s="137" t="s">
        <v>40</v>
      </c>
      <c r="C24" s="53">
        <f>C19+C8</f>
        <v>415</v>
      </c>
    </row>
    <row r="25" spans="2:12">
      <c r="B25" s="58" t="s">
        <v>181</v>
      </c>
    </row>
    <row r="26" spans="2:12">
      <c r="B26" s="58"/>
    </row>
    <row r="27" spans="2:12" ht="15.6">
      <c r="B27" s="83" t="s">
        <v>444</v>
      </c>
    </row>
    <row r="28" spans="2:12">
      <c r="B28" s="93" t="s">
        <v>341</v>
      </c>
    </row>
    <row r="29" spans="2:12">
      <c r="B29" s="174"/>
      <c r="C29" s="174">
        <v>2020</v>
      </c>
      <c r="D29" s="174">
        <v>2019</v>
      </c>
      <c r="E29" s="174">
        <v>2018</v>
      </c>
      <c r="F29" s="174">
        <v>2017</v>
      </c>
      <c r="G29" s="174">
        <v>2016</v>
      </c>
      <c r="H29" s="174">
        <v>2015</v>
      </c>
      <c r="I29" s="174">
        <v>2014</v>
      </c>
      <c r="J29" s="174">
        <v>2013</v>
      </c>
      <c r="K29" s="174">
        <v>2012</v>
      </c>
      <c r="L29" s="174">
        <v>2011</v>
      </c>
    </row>
    <row r="30" spans="2:12" ht="15" thickBot="1">
      <c r="B30" s="84" t="s">
        <v>340</v>
      </c>
      <c r="C30" s="174">
        <v>9.1</v>
      </c>
      <c r="D30" s="95">
        <v>9.4</v>
      </c>
      <c r="E30" s="95">
        <v>9.3000000000000007</v>
      </c>
      <c r="F30" s="95">
        <v>9.1</v>
      </c>
      <c r="G30" s="95">
        <v>8.8000000000000007</v>
      </c>
      <c r="H30" s="95">
        <v>8.1</v>
      </c>
      <c r="I30" s="95">
        <v>5.9</v>
      </c>
      <c r="J30" s="95">
        <v>4.5</v>
      </c>
      <c r="K30" s="95">
        <v>3.6</v>
      </c>
      <c r="L30" s="95">
        <v>4.2</v>
      </c>
    </row>
    <row r="31" spans="2:12" ht="21" thickBot="1">
      <c r="B31" s="84" t="s">
        <v>179</v>
      </c>
      <c r="C31" s="174">
        <v>65.2</v>
      </c>
      <c r="D31" s="95">
        <v>57.3</v>
      </c>
      <c r="E31" s="95">
        <v>56.8</v>
      </c>
      <c r="F31" s="95">
        <v>53.9</v>
      </c>
      <c r="G31" s="95">
        <v>45.4</v>
      </c>
      <c r="H31" s="95">
        <v>40.6</v>
      </c>
      <c r="I31" s="95">
        <v>40.799999999999997</v>
      </c>
      <c r="J31" s="95">
        <v>38.200000000000003</v>
      </c>
      <c r="K31" s="95">
        <v>39.1</v>
      </c>
      <c r="L31" s="95">
        <v>44.5</v>
      </c>
    </row>
    <row r="32" spans="2:12">
      <c r="B32" s="137" t="s">
        <v>52</v>
      </c>
      <c r="C32" s="174">
        <v>66.7</v>
      </c>
      <c r="D32" s="117">
        <v>74.3</v>
      </c>
      <c r="E32" s="117">
        <v>66</v>
      </c>
      <c r="F32" s="117">
        <v>63</v>
      </c>
      <c r="G32" s="117">
        <v>54.2</v>
      </c>
      <c r="H32" s="117">
        <v>48.7</v>
      </c>
      <c r="I32" s="117">
        <v>46.699999999999996</v>
      </c>
      <c r="J32" s="117">
        <v>42.7</v>
      </c>
      <c r="K32" s="117">
        <v>42.7</v>
      </c>
      <c r="L32" s="117">
        <v>48.7</v>
      </c>
    </row>
    <row r="33" spans="2:6">
      <c r="B33" s="41" t="s">
        <v>498</v>
      </c>
    </row>
    <row r="34" spans="2:6">
      <c r="B34" s="41"/>
    </row>
    <row r="35" spans="2:6" ht="15.6">
      <c r="B35" s="83" t="s">
        <v>1850</v>
      </c>
    </row>
    <row r="36" spans="2:6">
      <c r="B36" s="93" t="s">
        <v>1846</v>
      </c>
    </row>
    <row r="37" spans="2:6">
      <c r="B37" s="174"/>
      <c r="C37" s="174">
        <v>2021</v>
      </c>
      <c r="D37" s="174">
        <v>2020</v>
      </c>
      <c r="E37" s="174">
        <v>2018</v>
      </c>
      <c r="F37" s="174">
        <v>2016</v>
      </c>
    </row>
    <row r="38" spans="2:6" ht="15" thickBot="1">
      <c r="B38" s="84" t="s">
        <v>1847</v>
      </c>
      <c r="C38" s="52">
        <v>132</v>
      </c>
      <c r="D38" s="95">
        <v>97</v>
      </c>
      <c r="E38" s="95">
        <v>91</v>
      </c>
      <c r="F38" s="95">
        <v>78</v>
      </c>
    </row>
    <row r="39" spans="2:6" ht="15" thickBot="1">
      <c r="B39" s="658" t="s">
        <v>1848</v>
      </c>
      <c r="C39" s="1068">
        <v>51</v>
      </c>
      <c r="D39" s="106">
        <v>37</v>
      </c>
      <c r="E39" s="106">
        <v>25</v>
      </c>
      <c r="F39" s="106">
        <v>19</v>
      </c>
    </row>
    <row r="40" spans="2:6" ht="15" thickBot="1">
      <c r="B40" s="1109" t="s">
        <v>64</v>
      </c>
      <c r="C40" s="1068">
        <v>42</v>
      </c>
      <c r="D40" s="106">
        <v>42</v>
      </c>
      <c r="E40" s="106">
        <v>24</v>
      </c>
      <c r="F40" s="106">
        <v>24</v>
      </c>
    </row>
    <row r="41" spans="2:6">
      <c r="B41" s="135" t="s">
        <v>1849</v>
      </c>
      <c r="C41" s="1108">
        <v>43</v>
      </c>
      <c r="D41" s="129">
        <v>35</v>
      </c>
      <c r="E41" s="129">
        <v>20</v>
      </c>
      <c r="F41" s="129">
        <v>23</v>
      </c>
    </row>
    <row r="42" spans="2:6">
      <c r="B42" s="193" t="s">
        <v>1851</v>
      </c>
    </row>
    <row r="47" spans="2:6">
      <c r="E47" s="5"/>
    </row>
  </sheetData>
  <hyperlinks>
    <hyperlink ref="B25" r:id="rId1" xr:uid="{00000000-0004-0000-1500-000000000000}"/>
    <hyperlink ref="B33" r:id="rId2" xr:uid="{00000000-0004-0000-1500-000001000000}"/>
    <hyperlink ref="B42" r:id="rId3" xr:uid="{00000000-0004-0000-1500-000002000000}"/>
  </hyperlinks>
  <pageMargins left="0.7" right="0.7" top="0.78740157499999996" bottom="0.78740157499999996" header="0.3" footer="0.3"/>
  <pageSetup paperSize="9" orientation="portrait" r:id="rId4"/>
  <legacyDrawing r:id="rId5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50"/>
  </sheetPr>
  <dimension ref="B3:I33"/>
  <sheetViews>
    <sheetView showGridLines="0" topLeftCell="A14" zoomScale="112" zoomScaleNormal="112" workbookViewId="0">
      <selection activeCell="I15" sqref="I15"/>
    </sheetView>
  </sheetViews>
  <sheetFormatPr defaultColWidth="11.44140625" defaultRowHeight="14.4"/>
  <cols>
    <col min="1" max="1" width="7.6640625" customWidth="1"/>
    <col min="2" max="2" width="17.44140625" customWidth="1"/>
    <col min="3" max="4" width="8.6640625" customWidth="1"/>
    <col min="7" max="7" width="18" bestFit="1" customWidth="1"/>
    <col min="9" max="9" width="21.88671875" customWidth="1"/>
    <col min="10" max="14" width="8.6640625" customWidth="1"/>
    <col min="15" max="15" width="18" customWidth="1"/>
  </cols>
  <sheetData>
    <row r="3" spans="2:9" ht="15" customHeight="1">
      <c r="B3" s="83" t="s">
        <v>182</v>
      </c>
      <c r="C3" t="s">
        <v>1926</v>
      </c>
    </row>
    <row r="4" spans="2:9" ht="15" customHeight="1">
      <c r="B4" s="83"/>
      <c r="I4" s="710" t="s">
        <v>1866</v>
      </c>
    </row>
    <row r="5" spans="2:9" ht="15" customHeight="1">
      <c r="B5" s="83" t="s">
        <v>134</v>
      </c>
    </row>
    <row r="6" spans="2:9" ht="15" customHeight="1">
      <c r="B6" s="93" t="s">
        <v>107</v>
      </c>
    </row>
    <row r="7" spans="2:9" ht="15" customHeight="1">
      <c r="B7" s="194"/>
      <c r="C7" s="115">
        <v>2004</v>
      </c>
      <c r="D7" s="115">
        <v>2000</v>
      </c>
      <c r="E7" s="115" t="s">
        <v>183</v>
      </c>
      <c r="F7" s="115" t="s">
        <v>184</v>
      </c>
      <c r="G7" s="194"/>
    </row>
    <row r="8" spans="2:9" ht="15" customHeight="1" thickBot="1">
      <c r="B8" s="49" t="s">
        <v>53</v>
      </c>
      <c r="C8" s="140">
        <v>2748</v>
      </c>
      <c r="D8" s="60">
        <v>2700</v>
      </c>
      <c r="E8" s="60">
        <v>2245</v>
      </c>
      <c r="F8" s="60">
        <v>1950</v>
      </c>
      <c r="G8" s="49" t="s">
        <v>185</v>
      </c>
    </row>
    <row r="9" spans="2:9" ht="15" customHeight="1" thickBot="1">
      <c r="B9" s="84" t="s">
        <v>113</v>
      </c>
      <c r="C9" s="146">
        <v>214</v>
      </c>
      <c r="D9" s="59">
        <v>210</v>
      </c>
      <c r="E9" s="59">
        <v>227</v>
      </c>
      <c r="F9" s="59">
        <v>215</v>
      </c>
      <c r="G9" s="84" t="s">
        <v>113</v>
      </c>
    </row>
    <row r="10" spans="2:9" ht="15" customHeight="1" thickBot="1">
      <c r="B10" s="84" t="s">
        <v>186</v>
      </c>
      <c r="C10" s="89"/>
      <c r="D10" s="59">
        <v>2</v>
      </c>
      <c r="E10" s="59">
        <v>10</v>
      </c>
      <c r="F10" s="59">
        <v>32</v>
      </c>
      <c r="G10" s="84" t="s">
        <v>170</v>
      </c>
    </row>
    <row r="11" spans="2:9" ht="15" customHeight="1" thickBot="1">
      <c r="B11" s="84" t="s">
        <v>187</v>
      </c>
      <c r="C11" s="89"/>
      <c r="D11" s="59" t="s">
        <v>59</v>
      </c>
      <c r="E11" s="59">
        <v>141</v>
      </c>
      <c r="F11" s="59">
        <v>130</v>
      </c>
      <c r="G11" s="84" t="s">
        <v>170</v>
      </c>
    </row>
    <row r="12" spans="2:9" ht="15" customHeight="1" thickBot="1">
      <c r="B12" s="84" t="s">
        <v>188</v>
      </c>
      <c r="C12" s="89">
        <v>198</v>
      </c>
      <c r="D12" s="59">
        <v>170</v>
      </c>
      <c r="E12" s="59">
        <v>149</v>
      </c>
      <c r="F12" s="59">
        <v>67</v>
      </c>
      <c r="G12" s="84" t="s">
        <v>189</v>
      </c>
    </row>
    <row r="13" spans="2:9" ht="15" customHeight="1" thickBot="1">
      <c r="B13" s="84" t="s">
        <v>139</v>
      </c>
      <c r="C13" s="89">
        <v>207</v>
      </c>
      <c r="D13" s="59">
        <v>220</v>
      </c>
      <c r="E13" s="59">
        <v>229</v>
      </c>
      <c r="F13" s="59">
        <v>165</v>
      </c>
      <c r="G13" s="84" t="s">
        <v>190</v>
      </c>
    </row>
    <row r="14" spans="2:9" ht="15" customHeight="1" thickBot="1">
      <c r="B14" s="84" t="s">
        <v>116</v>
      </c>
      <c r="C14" s="89">
        <v>58</v>
      </c>
      <c r="D14" s="59">
        <v>60</v>
      </c>
      <c r="E14" s="59">
        <v>60</v>
      </c>
      <c r="F14" s="59">
        <v>49</v>
      </c>
      <c r="G14" s="84" t="s">
        <v>116</v>
      </c>
    </row>
    <row r="15" spans="2:9" ht="15" customHeight="1" thickBot="1">
      <c r="B15" s="84" t="s">
        <v>129</v>
      </c>
      <c r="C15" s="89"/>
      <c r="D15" s="59">
        <v>788</v>
      </c>
      <c r="E15" s="59">
        <v>724</v>
      </c>
      <c r="F15" s="59">
        <v>810</v>
      </c>
      <c r="G15" s="84" t="s">
        <v>191</v>
      </c>
    </row>
    <row r="16" spans="2:9" ht="15" customHeight="1" thickBot="1">
      <c r="B16" s="84" t="s">
        <v>171</v>
      </c>
      <c r="C16" s="89"/>
      <c r="D16" s="59">
        <v>430</v>
      </c>
      <c r="E16" s="59">
        <v>423</v>
      </c>
      <c r="F16" s="59">
        <v>225</v>
      </c>
      <c r="G16" s="84" t="s">
        <v>192</v>
      </c>
    </row>
    <row r="17" spans="2:8" ht="15" customHeight="1" thickBot="1">
      <c r="B17" s="84" t="s">
        <v>193</v>
      </c>
      <c r="C17" s="89">
        <v>256</v>
      </c>
      <c r="D17" s="59">
        <v>300</v>
      </c>
      <c r="E17" s="59">
        <v>282</v>
      </c>
      <c r="F17" s="59">
        <v>300</v>
      </c>
      <c r="G17" s="84" t="s">
        <v>194</v>
      </c>
    </row>
    <row r="18" spans="2:8" ht="15" customHeight="1">
      <c r="B18" s="92"/>
    </row>
    <row r="19" spans="2:8" ht="15" customHeight="1"/>
    <row r="20" spans="2:8" ht="15" customHeight="1">
      <c r="B20" s="86" t="s">
        <v>134</v>
      </c>
    </row>
    <row r="21" spans="2:8" ht="15" customHeight="1">
      <c r="B21" s="93" t="s">
        <v>195</v>
      </c>
    </row>
    <row r="22" spans="2:8" ht="15" customHeight="1">
      <c r="B22" s="194"/>
      <c r="C22" s="115">
        <v>2008</v>
      </c>
      <c r="D22" s="115">
        <v>2006</v>
      </c>
      <c r="E22" s="115">
        <v>2000</v>
      </c>
      <c r="F22" s="115" t="s">
        <v>183</v>
      </c>
      <c r="G22" s="115" t="s">
        <v>184</v>
      </c>
      <c r="H22" s="194"/>
    </row>
    <row r="23" spans="2:8" ht="15" customHeight="1" thickBot="1">
      <c r="B23" s="49" t="s">
        <v>53</v>
      </c>
      <c r="C23" s="69">
        <v>962</v>
      </c>
      <c r="D23" s="60">
        <v>1078</v>
      </c>
      <c r="E23" s="60">
        <v>1282</v>
      </c>
      <c r="F23" s="60">
        <v>1670</v>
      </c>
      <c r="G23" s="60">
        <v>1350</v>
      </c>
      <c r="H23" s="49" t="s">
        <v>185</v>
      </c>
    </row>
    <row r="24" spans="2:8" ht="15" customHeight="1" thickBot="1">
      <c r="B24" s="84" t="s">
        <v>113</v>
      </c>
      <c r="C24" s="89">
        <v>10</v>
      </c>
      <c r="D24" s="59">
        <v>59</v>
      </c>
      <c r="E24" s="59">
        <v>395</v>
      </c>
      <c r="F24" s="59">
        <v>500</v>
      </c>
      <c r="G24" s="59">
        <v>340</v>
      </c>
      <c r="H24" s="84" t="s">
        <v>113</v>
      </c>
    </row>
    <row r="25" spans="2:8" ht="15" customHeight="1" thickBot="1">
      <c r="B25" s="84" t="s">
        <v>186</v>
      </c>
      <c r="C25" s="89"/>
      <c r="D25" s="59"/>
      <c r="E25" s="59"/>
      <c r="F25" s="59">
        <v>13</v>
      </c>
      <c r="G25" s="59">
        <v>38</v>
      </c>
      <c r="H25" s="84" t="s">
        <v>170</v>
      </c>
    </row>
    <row r="26" spans="2:8" ht="15" customHeight="1" thickBot="1">
      <c r="B26" s="84" t="s">
        <v>187</v>
      </c>
      <c r="C26" s="89"/>
      <c r="D26" s="59"/>
      <c r="E26" s="59"/>
      <c r="F26" s="59">
        <v>103</v>
      </c>
      <c r="G26" s="59">
        <v>110</v>
      </c>
      <c r="H26" s="84" t="s">
        <v>170</v>
      </c>
    </row>
    <row r="27" spans="2:8" ht="15" customHeight="1" thickBot="1">
      <c r="B27" s="84" t="s">
        <v>196</v>
      </c>
      <c r="C27" s="89">
        <v>13</v>
      </c>
      <c r="D27" s="59">
        <v>22</v>
      </c>
      <c r="E27" s="59"/>
      <c r="F27" s="59"/>
      <c r="G27" s="59"/>
      <c r="H27" s="84" t="s">
        <v>197</v>
      </c>
    </row>
    <row r="28" spans="2:8" ht="15" customHeight="1" thickBot="1">
      <c r="B28" s="84" t="s">
        <v>139</v>
      </c>
      <c r="C28" s="89">
        <v>86</v>
      </c>
      <c r="D28" s="59">
        <v>104</v>
      </c>
      <c r="E28" s="59">
        <v>146</v>
      </c>
      <c r="F28" s="59">
        <v>165</v>
      </c>
      <c r="G28" s="59">
        <v>105</v>
      </c>
      <c r="H28" s="84" t="s">
        <v>190</v>
      </c>
    </row>
    <row r="29" spans="2:8" ht="15" customHeight="1" thickBot="1">
      <c r="B29" s="84" t="s">
        <v>116</v>
      </c>
      <c r="C29" s="89">
        <v>31</v>
      </c>
      <c r="D29" s="59">
        <v>43</v>
      </c>
      <c r="E29" s="59">
        <v>49</v>
      </c>
      <c r="F29" s="59">
        <v>46</v>
      </c>
      <c r="G29" s="59">
        <v>42</v>
      </c>
      <c r="H29" s="84" t="s">
        <v>116</v>
      </c>
    </row>
    <row r="30" spans="2:8" ht="15" customHeight="1" thickBot="1">
      <c r="B30" s="84" t="s">
        <v>193</v>
      </c>
      <c r="C30" s="89">
        <v>33</v>
      </c>
      <c r="D30" s="59">
        <v>67</v>
      </c>
      <c r="E30" s="59">
        <v>56</v>
      </c>
      <c r="F30" s="59">
        <v>77</v>
      </c>
      <c r="G30" s="59">
        <v>78</v>
      </c>
      <c r="H30" s="84" t="s">
        <v>194</v>
      </c>
    </row>
    <row r="31" spans="2:8" ht="12" customHeight="1" thickBot="1">
      <c r="B31" s="84" t="s">
        <v>198</v>
      </c>
      <c r="C31" s="89">
        <v>344</v>
      </c>
      <c r="D31" s="59">
        <v>333</v>
      </c>
      <c r="E31" s="59">
        <v>286</v>
      </c>
      <c r="F31" s="59"/>
      <c r="G31" s="59"/>
      <c r="H31" s="84" t="s">
        <v>198</v>
      </c>
    </row>
    <row r="32" spans="2:8" ht="12" customHeight="1" thickBot="1">
      <c r="B32" s="84" t="s">
        <v>129</v>
      </c>
      <c r="C32" s="89">
        <v>445</v>
      </c>
      <c r="D32" s="59">
        <v>454</v>
      </c>
      <c r="E32" s="59">
        <v>349</v>
      </c>
      <c r="F32" s="59">
        <v>376</v>
      </c>
      <c r="G32" s="59">
        <v>501</v>
      </c>
      <c r="H32" s="84" t="s">
        <v>191</v>
      </c>
    </row>
    <row r="33" spans="2:2">
      <c r="B33" s="92" t="s">
        <v>199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50"/>
  </sheetPr>
  <dimension ref="B2:AA110"/>
  <sheetViews>
    <sheetView showGridLines="0" zoomScaleNormal="100" workbookViewId="0">
      <selection activeCell="G18" sqref="G18"/>
    </sheetView>
  </sheetViews>
  <sheetFormatPr defaultColWidth="11.44140625" defaultRowHeight="14.4"/>
  <cols>
    <col min="2" max="2" width="25.6640625" customWidth="1"/>
    <col min="3" max="3" width="10.6640625" customWidth="1"/>
    <col min="4" max="4" width="14.5546875" customWidth="1"/>
    <col min="5" max="5" width="14.44140625" customWidth="1"/>
    <col min="6" max="6" width="14.6640625" customWidth="1"/>
    <col min="7" max="7" width="13.109375" customWidth="1"/>
    <col min="8" max="8" width="18.6640625" customWidth="1"/>
    <col min="9" max="9" width="15.109375" customWidth="1"/>
    <col min="10" max="10" width="14.33203125" customWidth="1"/>
    <col min="11" max="15" width="14.88671875" customWidth="1"/>
    <col min="17" max="17" width="16" customWidth="1"/>
  </cols>
  <sheetData>
    <row r="2" spans="2:27" ht="15.6">
      <c r="B2" s="1264" t="s">
        <v>367</v>
      </c>
      <c r="C2" s="1264" t="s">
        <v>1926</v>
      </c>
    </row>
    <row r="3" spans="2:27" ht="15.6">
      <c r="B3" s="83"/>
      <c r="C3" s="83"/>
    </row>
    <row r="4" spans="2:27" ht="31.2">
      <c r="B4" s="83" t="s">
        <v>56</v>
      </c>
      <c r="C4" s="83"/>
      <c r="I4" s="1070"/>
      <c r="K4" s="670"/>
      <c r="L4" s="670"/>
      <c r="M4" s="670"/>
      <c r="N4" s="670"/>
    </row>
    <row r="5" spans="2:27">
      <c r="B5" s="93" t="s">
        <v>46</v>
      </c>
      <c r="C5" s="93"/>
      <c r="K5" s="670"/>
      <c r="L5" s="670"/>
      <c r="M5" s="670"/>
      <c r="N5" s="670"/>
    </row>
    <row r="6" spans="2:27">
      <c r="B6" s="99"/>
      <c r="C6" s="170">
        <v>2021</v>
      </c>
      <c r="D6" s="170">
        <v>2020</v>
      </c>
      <c r="E6" s="170">
        <v>2019</v>
      </c>
      <c r="F6" s="170">
        <v>2018</v>
      </c>
      <c r="G6" s="170">
        <v>2017</v>
      </c>
      <c r="H6" s="170">
        <v>2016</v>
      </c>
      <c r="K6" s="670"/>
      <c r="L6" s="670"/>
      <c r="M6" s="670"/>
      <c r="N6" s="670"/>
      <c r="AA6" s="152"/>
    </row>
    <row r="7" spans="2:27" ht="15" thickBot="1">
      <c r="B7" s="84" t="s">
        <v>51</v>
      </c>
      <c r="C7" s="183">
        <v>4717</v>
      </c>
      <c r="D7" s="213">
        <v>5214</v>
      </c>
      <c r="E7" s="213">
        <v>5090</v>
      </c>
      <c r="F7" s="213">
        <v>5132</v>
      </c>
      <c r="G7" s="175">
        <v>4175</v>
      </c>
      <c r="H7" s="175">
        <v>3500</v>
      </c>
      <c r="K7" s="670"/>
      <c r="L7" s="670"/>
      <c r="M7" s="670"/>
      <c r="N7" s="670"/>
    </row>
    <row r="8" spans="2:27">
      <c r="B8" s="152" t="s">
        <v>50</v>
      </c>
      <c r="C8" s="124">
        <v>3533</v>
      </c>
      <c r="D8" s="189">
        <v>3388</v>
      </c>
      <c r="E8" s="189">
        <v>3103</v>
      </c>
      <c r="F8" s="189">
        <v>2667</v>
      </c>
      <c r="G8" s="176">
        <v>2390</v>
      </c>
      <c r="H8" s="176">
        <v>2200</v>
      </c>
      <c r="AA8" s="152"/>
    </row>
    <row r="9" spans="2:27">
      <c r="B9" s="85" t="s">
        <v>52</v>
      </c>
      <c r="C9" s="184">
        <v>8251</v>
      </c>
      <c r="D9" s="184">
        <v>8602</v>
      </c>
      <c r="E9" s="184">
        <v>8193</v>
      </c>
      <c r="F9" s="184">
        <v>7799</v>
      </c>
      <c r="G9" s="184">
        <v>6565</v>
      </c>
      <c r="H9" s="184">
        <v>5700</v>
      </c>
      <c r="AA9" s="152"/>
    </row>
    <row r="10" spans="2:27">
      <c r="B10" s="182" t="s">
        <v>1879</v>
      </c>
      <c r="M10" s="670"/>
      <c r="N10" s="670"/>
      <c r="O10" s="670"/>
      <c r="AA10" s="152"/>
    </row>
    <row r="11" spans="2:27">
      <c r="B11" s="182"/>
      <c r="M11" s="670"/>
      <c r="N11" s="670"/>
      <c r="O11" s="670"/>
      <c r="AA11" s="152"/>
    </row>
    <row r="12" spans="2:27" ht="15.6">
      <c r="B12" s="83" t="s">
        <v>56</v>
      </c>
      <c r="C12" s="83"/>
      <c r="M12" s="670"/>
      <c r="N12" s="670"/>
      <c r="O12" s="670"/>
      <c r="AA12" s="152"/>
    </row>
    <row r="13" spans="2:27">
      <c r="B13" s="93" t="s">
        <v>1145</v>
      </c>
      <c r="C13" s="93"/>
      <c r="AA13" s="152"/>
    </row>
    <row r="14" spans="2:27">
      <c r="B14" s="99"/>
      <c r="C14" s="170">
        <v>2021</v>
      </c>
      <c r="D14" s="170">
        <v>2020</v>
      </c>
      <c r="E14" s="170">
        <v>2019</v>
      </c>
      <c r="F14" s="668"/>
      <c r="G14" s="668"/>
      <c r="AA14" s="152"/>
    </row>
    <row r="15" spans="2:27" ht="15" thickBot="1">
      <c r="B15" s="84" t="s">
        <v>51</v>
      </c>
      <c r="C15" s="183">
        <v>7657</v>
      </c>
      <c r="D15" s="213">
        <v>11731</v>
      </c>
      <c r="E15" s="213">
        <v>10449</v>
      </c>
      <c r="F15" s="199"/>
      <c r="G15" s="199"/>
      <c r="AA15" s="152"/>
    </row>
    <row r="16" spans="2:27">
      <c r="B16" s="152" t="s">
        <v>50</v>
      </c>
      <c r="C16" s="124">
        <v>11086</v>
      </c>
      <c r="D16" s="189">
        <v>10501</v>
      </c>
      <c r="E16" s="189">
        <v>9353</v>
      </c>
      <c r="F16" s="199"/>
      <c r="G16" s="199"/>
      <c r="AA16" s="152"/>
    </row>
    <row r="17" spans="2:27">
      <c r="B17" s="85" t="s">
        <v>52</v>
      </c>
      <c r="C17" s="184">
        <f>C16+C15</f>
        <v>18743</v>
      </c>
      <c r="D17" s="184">
        <v>22232</v>
      </c>
      <c r="E17" s="184">
        <v>19802</v>
      </c>
      <c r="F17" s="198"/>
      <c r="G17" s="198"/>
      <c r="AA17" s="152"/>
    </row>
    <row r="18" spans="2:27">
      <c r="B18" s="182" t="s">
        <v>1879</v>
      </c>
      <c r="AA18" s="152"/>
    </row>
    <row r="19" spans="2:27">
      <c r="B19" s="182"/>
      <c r="AA19" s="152"/>
    </row>
    <row r="20" spans="2:27" ht="15.6">
      <c r="B20" s="83" t="s">
        <v>106</v>
      </c>
    </row>
    <row r="21" spans="2:27">
      <c r="B21" s="93" t="s">
        <v>425</v>
      </c>
    </row>
    <row r="22" spans="2:27">
      <c r="B22" s="93" t="s">
        <v>46</v>
      </c>
    </row>
    <row r="23" spans="2:27">
      <c r="B23" s="172"/>
      <c r="C23" s="227">
        <v>2020</v>
      </c>
      <c r="D23" s="227"/>
      <c r="E23" s="227">
        <v>2019</v>
      </c>
      <c r="F23" s="227"/>
      <c r="G23" s="227">
        <v>2018</v>
      </c>
      <c r="H23" s="227"/>
      <c r="I23" s="227">
        <v>2017</v>
      </c>
      <c r="J23" s="227"/>
    </row>
    <row r="24" spans="2:27">
      <c r="B24" s="172" t="s">
        <v>420</v>
      </c>
      <c r="C24" s="174" t="s">
        <v>419</v>
      </c>
      <c r="D24" s="174" t="s">
        <v>421</v>
      </c>
      <c r="E24" s="174" t="s">
        <v>419</v>
      </c>
      <c r="F24" s="174" t="s">
        <v>421</v>
      </c>
      <c r="G24" s="174" t="s">
        <v>419</v>
      </c>
      <c r="H24" s="174" t="s">
        <v>421</v>
      </c>
      <c r="I24" s="174" t="s">
        <v>419</v>
      </c>
      <c r="J24" s="174" t="s">
        <v>421</v>
      </c>
    </row>
    <row r="25" spans="2:27" ht="15" thickBot="1">
      <c r="B25" s="84" t="s">
        <v>409</v>
      </c>
      <c r="C25" s="175">
        <v>197</v>
      </c>
      <c r="D25" s="175">
        <v>106</v>
      </c>
      <c r="E25" s="175">
        <v>197</v>
      </c>
      <c r="F25" s="175">
        <v>100</v>
      </c>
      <c r="G25" s="175">
        <v>255</v>
      </c>
      <c r="H25" s="175">
        <v>52</v>
      </c>
      <c r="I25" s="175">
        <v>259</v>
      </c>
      <c r="J25" s="175">
        <v>53</v>
      </c>
    </row>
    <row r="26" spans="2:27" ht="15" thickBot="1">
      <c r="B26" s="84" t="s">
        <v>411</v>
      </c>
      <c r="C26" s="175">
        <v>39</v>
      </c>
      <c r="D26" s="46">
        <v>8</v>
      </c>
      <c r="E26" s="175">
        <v>63</v>
      </c>
      <c r="F26" s="46">
        <v>1.9</v>
      </c>
      <c r="G26" s="175">
        <v>61</v>
      </c>
      <c r="H26" s="46" t="s">
        <v>59</v>
      </c>
      <c r="I26" s="175">
        <v>70</v>
      </c>
      <c r="J26" s="46" t="s">
        <v>59</v>
      </c>
    </row>
    <row r="27" spans="2:27" ht="15" thickBot="1">
      <c r="B27" s="84" t="s">
        <v>415</v>
      </c>
      <c r="C27" s="175">
        <v>558</v>
      </c>
      <c r="D27" s="175">
        <v>46</v>
      </c>
      <c r="E27" s="175">
        <v>507</v>
      </c>
      <c r="F27" s="175">
        <v>52</v>
      </c>
      <c r="G27" s="175">
        <v>542</v>
      </c>
      <c r="H27" s="175">
        <v>52</v>
      </c>
      <c r="I27" s="175">
        <v>331</v>
      </c>
      <c r="J27" s="175">
        <v>41</v>
      </c>
    </row>
    <row r="28" spans="2:27" ht="15" thickBot="1">
      <c r="B28" s="84" t="s">
        <v>454</v>
      </c>
      <c r="C28" s="175">
        <v>838</v>
      </c>
      <c r="D28" s="175">
        <v>69</v>
      </c>
      <c r="E28" s="175">
        <v>721</v>
      </c>
      <c r="F28" s="175">
        <v>58</v>
      </c>
      <c r="G28" s="175">
        <v>708</v>
      </c>
      <c r="H28" s="175">
        <v>39</v>
      </c>
      <c r="I28" s="175">
        <v>476</v>
      </c>
      <c r="J28" s="175">
        <v>34</v>
      </c>
    </row>
    <row r="29" spans="2:27" ht="15" thickBot="1">
      <c r="B29" s="84" t="s">
        <v>410</v>
      </c>
      <c r="C29" s="175">
        <v>656</v>
      </c>
      <c r="D29" s="46" t="s">
        <v>59</v>
      </c>
      <c r="E29" s="175">
        <v>569</v>
      </c>
      <c r="F29" s="46" t="s">
        <v>59</v>
      </c>
      <c r="G29" s="175">
        <v>477</v>
      </c>
      <c r="H29" s="46" t="s">
        <v>59</v>
      </c>
      <c r="I29" s="175">
        <v>195</v>
      </c>
      <c r="J29" s="46" t="s">
        <v>59</v>
      </c>
    </row>
    <row r="30" spans="2:27" ht="15" thickBot="1">
      <c r="B30" s="84" t="s">
        <v>455</v>
      </c>
      <c r="C30" s="175">
        <v>42</v>
      </c>
      <c r="D30" s="175">
        <v>190</v>
      </c>
      <c r="E30" s="175">
        <v>63</v>
      </c>
      <c r="F30" s="175">
        <v>193</v>
      </c>
      <c r="G30" s="175">
        <v>137</v>
      </c>
      <c r="H30" s="175">
        <v>71</v>
      </c>
      <c r="I30" s="175">
        <f>91+27</f>
        <v>118</v>
      </c>
      <c r="J30" s="175">
        <v>60</v>
      </c>
    </row>
    <row r="31" spans="2:27" ht="15" thickBot="1">
      <c r="B31" s="84" t="s">
        <v>413</v>
      </c>
      <c r="C31" s="175">
        <v>116</v>
      </c>
      <c r="D31" s="175">
        <v>171</v>
      </c>
      <c r="E31" s="175">
        <v>68</v>
      </c>
      <c r="F31" s="175">
        <v>105</v>
      </c>
      <c r="G31" s="175">
        <v>137</v>
      </c>
      <c r="H31" s="175">
        <v>48</v>
      </c>
      <c r="I31" s="175">
        <v>97</v>
      </c>
      <c r="J31" s="175">
        <v>23</v>
      </c>
    </row>
    <row r="32" spans="2:27" ht="15" thickBot="1">
      <c r="B32" s="84" t="s">
        <v>456</v>
      </c>
      <c r="C32" s="175">
        <v>774</v>
      </c>
      <c r="D32" s="175">
        <v>388</v>
      </c>
      <c r="E32" s="175">
        <v>743</v>
      </c>
      <c r="F32" s="175">
        <v>380</v>
      </c>
      <c r="G32" s="175">
        <v>662</v>
      </c>
      <c r="H32" s="175">
        <v>378</v>
      </c>
      <c r="I32" s="175">
        <v>516</v>
      </c>
      <c r="J32" s="175">
        <v>359</v>
      </c>
    </row>
    <row r="33" spans="2:27" ht="15" thickBot="1">
      <c r="B33" s="84" t="s">
        <v>417</v>
      </c>
      <c r="C33" s="175">
        <v>920</v>
      </c>
      <c r="D33" s="175">
        <v>395</v>
      </c>
      <c r="E33" s="175">
        <v>780</v>
      </c>
      <c r="F33" s="175">
        <v>333</v>
      </c>
      <c r="G33" s="175">
        <v>773</v>
      </c>
      <c r="H33" s="175">
        <v>314</v>
      </c>
      <c r="I33" s="175">
        <v>720</v>
      </c>
      <c r="J33" s="175">
        <v>297</v>
      </c>
    </row>
    <row r="34" spans="2:27" ht="15" thickBot="1">
      <c r="B34" s="84" t="s">
        <v>418</v>
      </c>
      <c r="C34" s="175">
        <v>608</v>
      </c>
      <c r="D34" s="175">
        <v>509</v>
      </c>
      <c r="E34" s="175">
        <v>627</v>
      </c>
      <c r="F34" s="175">
        <v>492</v>
      </c>
      <c r="G34" s="175">
        <v>620</v>
      </c>
      <c r="H34" s="175">
        <v>465</v>
      </c>
      <c r="I34" s="175">
        <v>595</v>
      </c>
      <c r="J34" s="175">
        <v>424</v>
      </c>
    </row>
    <row r="35" spans="2:27" ht="15" thickBot="1">
      <c r="B35" s="84" t="s">
        <v>412</v>
      </c>
      <c r="C35" s="175">
        <v>323</v>
      </c>
      <c r="D35" s="175">
        <v>1310</v>
      </c>
      <c r="E35" s="175">
        <v>608</v>
      </c>
      <c r="F35" s="175">
        <v>1212</v>
      </c>
      <c r="G35" s="175">
        <v>665</v>
      </c>
      <c r="H35" s="175">
        <v>1124</v>
      </c>
      <c r="I35" s="175">
        <v>668</v>
      </c>
      <c r="J35" s="175">
        <v>1014</v>
      </c>
    </row>
    <row r="36" spans="2:27">
      <c r="B36" s="97" t="s">
        <v>129</v>
      </c>
      <c r="C36" s="176">
        <v>143</v>
      </c>
      <c r="D36" s="176">
        <v>196</v>
      </c>
      <c r="E36" s="176">
        <v>144</v>
      </c>
      <c r="F36" s="176">
        <v>176</v>
      </c>
      <c r="G36" s="176">
        <v>95</v>
      </c>
      <c r="H36" s="176">
        <v>125</v>
      </c>
      <c r="I36" s="176">
        <v>130</v>
      </c>
      <c r="J36" s="176">
        <v>85</v>
      </c>
    </row>
    <row r="37" spans="2:27">
      <c r="B37" s="172" t="s">
        <v>52</v>
      </c>
      <c r="C37" s="177">
        <v>5214</v>
      </c>
      <c r="D37" s="177">
        <v>3388</v>
      </c>
      <c r="E37" s="177">
        <v>5090</v>
      </c>
      <c r="F37" s="177">
        <v>3103</v>
      </c>
      <c r="G37" s="177">
        <v>5132</v>
      </c>
      <c r="H37" s="177">
        <v>2668</v>
      </c>
      <c r="I37" s="177">
        <f>SUM(I30:I36)</f>
        <v>2844</v>
      </c>
      <c r="J37" s="177">
        <v>2390</v>
      </c>
    </row>
    <row r="38" spans="2:27">
      <c r="B38" s="182" t="s">
        <v>1144</v>
      </c>
      <c r="C38" s="139"/>
      <c r="D38" s="139"/>
    </row>
    <row r="39" spans="2:27">
      <c r="B39" s="182"/>
      <c r="AA39" s="152"/>
    </row>
    <row r="40" spans="2:27" ht="15.6">
      <c r="B40" s="83" t="s">
        <v>56</v>
      </c>
      <c r="C40" s="198"/>
      <c r="D40" s="198"/>
      <c r="E40" s="198"/>
      <c r="AA40" s="152"/>
    </row>
    <row r="41" spans="2:27">
      <c r="B41" s="93" t="s">
        <v>137</v>
      </c>
      <c r="C41" s="198"/>
      <c r="D41" s="198"/>
      <c r="E41" s="198"/>
      <c r="AA41" s="152"/>
    </row>
    <row r="42" spans="2:27">
      <c r="B42" s="153" t="s">
        <v>457</v>
      </c>
      <c r="C42" s="170">
        <v>2021</v>
      </c>
      <c r="D42" s="170">
        <v>2020</v>
      </c>
      <c r="E42" s="170">
        <v>2019</v>
      </c>
      <c r="F42" s="170">
        <v>2018</v>
      </c>
      <c r="G42" s="170">
        <v>2017</v>
      </c>
      <c r="H42" s="170">
        <v>2016</v>
      </c>
      <c r="AA42" s="152"/>
    </row>
    <row r="43" spans="2:27" ht="15" thickBot="1">
      <c r="B43" s="84" t="s">
        <v>134</v>
      </c>
      <c r="C43" s="183">
        <v>2011</v>
      </c>
      <c r="D43" s="213">
        <v>2489</v>
      </c>
      <c r="E43" s="213">
        <v>2451</v>
      </c>
      <c r="F43" s="213">
        <v>2285</v>
      </c>
      <c r="G43" s="175">
        <v>1811</v>
      </c>
      <c r="H43" s="46" t="s">
        <v>59</v>
      </c>
      <c r="AA43" s="152"/>
    </row>
    <row r="44" spans="2:27" ht="15" thickBot="1">
      <c r="B44" s="84" t="s">
        <v>458</v>
      </c>
      <c r="C44" s="222">
        <v>2325</v>
      </c>
      <c r="D44" s="46">
        <v>2335</v>
      </c>
      <c r="E44" s="46">
        <v>2231</v>
      </c>
      <c r="F44" s="46">
        <v>2364</v>
      </c>
      <c r="G44" s="175">
        <v>1895</v>
      </c>
      <c r="H44" s="46" t="s">
        <v>59</v>
      </c>
      <c r="AA44" s="152"/>
    </row>
    <row r="45" spans="2:27">
      <c r="B45" s="152" t="s">
        <v>459</v>
      </c>
      <c r="C45" s="120">
        <v>382</v>
      </c>
      <c r="D45" s="121">
        <v>390</v>
      </c>
      <c r="E45" s="121">
        <v>360</v>
      </c>
      <c r="F45" s="121">
        <v>483</v>
      </c>
      <c r="G45" s="199">
        <v>470</v>
      </c>
      <c r="H45" s="121" t="s">
        <v>59</v>
      </c>
      <c r="AA45" s="152"/>
    </row>
    <row r="46" spans="2:27">
      <c r="B46" s="85" t="s">
        <v>52</v>
      </c>
      <c r="C46" s="184">
        <v>4718</v>
      </c>
      <c r="D46" s="184">
        <v>5214</v>
      </c>
      <c r="E46" s="184">
        <v>5042</v>
      </c>
      <c r="F46" s="184">
        <v>5132</v>
      </c>
      <c r="G46" s="184">
        <v>4175</v>
      </c>
      <c r="H46" s="184" t="s">
        <v>59</v>
      </c>
      <c r="AA46" s="152"/>
    </row>
    <row r="47" spans="2:27">
      <c r="C47" s="139"/>
      <c r="D47" s="139"/>
      <c r="G47" s="114"/>
      <c r="H47" s="114"/>
      <c r="AA47" s="152"/>
    </row>
    <row r="48" spans="2:27">
      <c r="B48" s="153" t="s">
        <v>380</v>
      </c>
      <c r="C48" s="170">
        <v>2021</v>
      </c>
      <c r="D48" s="170">
        <v>2020</v>
      </c>
      <c r="E48" s="170">
        <v>2019</v>
      </c>
      <c r="F48" s="170">
        <v>2018</v>
      </c>
      <c r="G48" s="170">
        <v>2017</v>
      </c>
      <c r="H48" s="170">
        <v>2016</v>
      </c>
      <c r="AA48" s="152"/>
    </row>
    <row r="49" spans="2:27" ht="15" thickBot="1">
      <c r="B49" s="84" t="s">
        <v>134</v>
      </c>
      <c r="C49" s="187">
        <v>2130</v>
      </c>
      <c r="D49" s="669">
        <v>2158</v>
      </c>
      <c r="E49" s="669">
        <v>2064</v>
      </c>
      <c r="F49" s="669">
        <v>2039</v>
      </c>
      <c r="G49" s="175">
        <v>1900</v>
      </c>
      <c r="H49" s="175">
        <v>1800</v>
      </c>
      <c r="AA49" s="152"/>
    </row>
    <row r="50" spans="2:27" ht="15.75" customHeight="1" thickBot="1">
      <c r="B50" s="84" t="s">
        <v>432</v>
      </c>
      <c r="C50" s="187">
        <v>1404</v>
      </c>
      <c r="D50" s="669">
        <v>912</v>
      </c>
      <c r="E50" s="669">
        <v>762</v>
      </c>
      <c r="F50" s="669">
        <v>628</v>
      </c>
      <c r="G50" s="175"/>
      <c r="H50" s="175"/>
      <c r="K50" s="171"/>
      <c r="AA50" s="152"/>
    </row>
    <row r="51" spans="2:27" ht="15.75" customHeight="1" thickBot="1">
      <c r="B51" s="84" t="s">
        <v>460</v>
      </c>
      <c r="C51" s="222">
        <v>378</v>
      </c>
      <c r="D51" s="46">
        <v>357</v>
      </c>
      <c r="E51" s="46">
        <v>271</v>
      </c>
      <c r="F51" s="46">
        <v>232</v>
      </c>
      <c r="G51" s="175">
        <v>490</v>
      </c>
      <c r="H51" s="175">
        <v>300</v>
      </c>
      <c r="K51" s="171"/>
      <c r="AA51" s="152"/>
    </row>
    <row r="52" spans="2:27">
      <c r="B52" s="152" t="s">
        <v>461</v>
      </c>
      <c r="C52" s="120">
        <v>1026</v>
      </c>
      <c r="D52" s="121">
        <v>555</v>
      </c>
      <c r="E52" s="121">
        <v>491</v>
      </c>
      <c r="F52" s="121">
        <v>395</v>
      </c>
      <c r="G52" s="199"/>
      <c r="H52" s="199"/>
      <c r="AA52" s="152"/>
    </row>
    <row r="53" spans="2:27">
      <c r="B53" s="85" t="s">
        <v>52</v>
      </c>
      <c r="C53" s="184">
        <v>3534</v>
      </c>
      <c r="D53" s="184">
        <v>3070</v>
      </c>
      <c r="E53" s="184">
        <v>2826</v>
      </c>
      <c r="F53" s="184">
        <v>2667</v>
      </c>
      <c r="G53" s="184">
        <v>2390</v>
      </c>
      <c r="H53" s="184">
        <v>2200</v>
      </c>
      <c r="AA53" s="152"/>
    </row>
    <row r="54" spans="2:27">
      <c r="B54" s="182" t="s">
        <v>381</v>
      </c>
      <c r="C54" s="138"/>
      <c r="D54" s="152"/>
      <c r="E54" s="152"/>
    </row>
    <row r="55" spans="2:27">
      <c r="B55" s="182" t="s">
        <v>1879</v>
      </c>
      <c r="C55" s="138"/>
      <c r="D55" s="152"/>
      <c r="E55" s="152"/>
    </row>
    <row r="56" spans="2:27">
      <c r="B56" s="151"/>
      <c r="C56" s="151"/>
    </row>
    <row r="58" spans="2:27" ht="18">
      <c r="B58" s="83" t="s">
        <v>462</v>
      </c>
    </row>
    <row r="59" spans="2:27">
      <c r="B59" s="93" t="s">
        <v>463</v>
      </c>
    </row>
    <row r="60" spans="2:27">
      <c r="B60" s="174"/>
      <c r="C60" s="1565">
        <v>2020</v>
      </c>
      <c r="D60" s="1565"/>
      <c r="E60" s="1565">
        <v>2019</v>
      </c>
      <c r="F60" s="1565"/>
      <c r="G60" s="1565" t="s">
        <v>453</v>
      </c>
      <c r="H60" s="1565"/>
      <c r="I60" s="1565" t="s">
        <v>464</v>
      </c>
      <c r="J60" s="1565"/>
    </row>
    <row r="61" spans="2:27">
      <c r="B61" s="174"/>
      <c r="C61" s="174" t="s">
        <v>424</v>
      </c>
      <c r="D61" s="227" t="s">
        <v>333</v>
      </c>
      <c r="E61" s="174" t="s">
        <v>424</v>
      </c>
      <c r="F61" s="227" t="s">
        <v>333</v>
      </c>
      <c r="G61" s="174" t="s">
        <v>424</v>
      </c>
      <c r="H61" s="227" t="s">
        <v>333</v>
      </c>
      <c r="I61" s="174" t="s">
        <v>424</v>
      </c>
      <c r="J61" s="227" t="s">
        <v>333</v>
      </c>
    </row>
    <row r="62" spans="2:27">
      <c r="B62" s="172" t="s">
        <v>420</v>
      </c>
      <c r="C62" s="174" t="s">
        <v>427</v>
      </c>
      <c r="D62" s="174"/>
      <c r="E62" s="174" t="s">
        <v>427</v>
      </c>
      <c r="F62" s="174"/>
      <c r="G62" s="174" t="s">
        <v>427</v>
      </c>
      <c r="H62" s="174"/>
      <c r="I62" s="174" t="s">
        <v>427</v>
      </c>
      <c r="J62" s="174"/>
    </row>
    <row r="63" spans="2:27" ht="15" thickBot="1">
      <c r="B63" s="84" t="s">
        <v>455</v>
      </c>
      <c r="C63" s="178">
        <v>8.8000000000000007</v>
      </c>
      <c r="D63" s="128">
        <v>13.1</v>
      </c>
      <c r="E63" s="178">
        <v>12</v>
      </c>
      <c r="F63" s="128">
        <v>13</v>
      </c>
      <c r="G63" s="178">
        <v>6</v>
      </c>
      <c r="H63" s="128">
        <v>11</v>
      </c>
      <c r="I63" s="178">
        <v>3</v>
      </c>
      <c r="J63" s="128">
        <v>8</v>
      </c>
    </row>
    <row r="64" spans="2:27" ht="15" thickBot="1">
      <c r="B64" s="97" t="s">
        <v>409</v>
      </c>
      <c r="C64" s="179">
        <v>28.8</v>
      </c>
      <c r="D64" s="130">
        <v>33.700000000000003</v>
      </c>
      <c r="E64" s="179">
        <v>26</v>
      </c>
      <c r="F64" s="130">
        <v>29</v>
      </c>
      <c r="G64" s="179">
        <v>21</v>
      </c>
      <c r="H64" s="130">
        <v>20</v>
      </c>
      <c r="I64" s="179">
        <v>7</v>
      </c>
      <c r="J64" s="130">
        <v>24</v>
      </c>
    </row>
    <row r="65" spans="2:18" ht="15" thickBot="1">
      <c r="B65" s="97" t="s">
        <v>412</v>
      </c>
      <c r="C65" s="179">
        <v>79.3</v>
      </c>
      <c r="D65" s="130">
        <v>220</v>
      </c>
      <c r="E65" s="179">
        <v>50</v>
      </c>
      <c r="F65" s="130">
        <v>195</v>
      </c>
      <c r="G65" s="179">
        <v>27</v>
      </c>
      <c r="H65" s="130">
        <v>138</v>
      </c>
      <c r="I65" s="179">
        <v>179</v>
      </c>
      <c r="J65" s="130">
        <v>98</v>
      </c>
    </row>
    <row r="66" spans="2:18" ht="15" thickBot="1">
      <c r="B66" s="97" t="s">
        <v>413</v>
      </c>
      <c r="C66" s="179">
        <v>23</v>
      </c>
      <c r="D66" s="130">
        <v>80</v>
      </c>
      <c r="E66" s="179">
        <v>15</v>
      </c>
      <c r="F66" s="130">
        <v>25</v>
      </c>
      <c r="G66" s="179">
        <v>14</v>
      </c>
      <c r="H66" s="130">
        <v>21</v>
      </c>
      <c r="I66" s="179">
        <v>2</v>
      </c>
      <c r="J66" s="130">
        <v>6</v>
      </c>
    </row>
    <row r="67" spans="2:18" ht="15" thickBot="1">
      <c r="B67" s="97" t="s">
        <v>456</v>
      </c>
      <c r="C67" s="179">
        <v>8</v>
      </c>
      <c r="D67" s="130">
        <v>9</v>
      </c>
      <c r="E67" s="179">
        <v>5</v>
      </c>
      <c r="F67" s="130">
        <v>9</v>
      </c>
      <c r="G67" s="179">
        <v>5</v>
      </c>
      <c r="H67" s="130">
        <v>6</v>
      </c>
      <c r="I67" s="179">
        <v>1</v>
      </c>
      <c r="J67" s="130">
        <v>4</v>
      </c>
    </row>
    <row r="68" spans="2:18" ht="15" thickBot="1">
      <c r="B68" s="97" t="s">
        <v>417</v>
      </c>
      <c r="C68" s="179">
        <v>33</v>
      </c>
      <c r="D68" s="130">
        <v>242</v>
      </c>
      <c r="E68" s="179">
        <v>35</v>
      </c>
      <c r="F68" s="130">
        <v>203</v>
      </c>
      <c r="G68" s="179">
        <v>28</v>
      </c>
      <c r="H68" s="130">
        <v>179</v>
      </c>
      <c r="I68" s="179">
        <v>13</v>
      </c>
      <c r="J68" s="130">
        <v>142</v>
      </c>
    </row>
    <row r="69" spans="2:18" ht="15" thickBot="1">
      <c r="B69" s="97" t="s">
        <v>418</v>
      </c>
      <c r="C69" s="179">
        <v>59</v>
      </c>
      <c r="D69" s="130">
        <v>211.5</v>
      </c>
      <c r="E69" s="179">
        <v>55</v>
      </c>
      <c r="F69" s="130">
        <v>202</v>
      </c>
      <c r="G69" s="179">
        <v>52</v>
      </c>
      <c r="H69" s="130">
        <v>186</v>
      </c>
      <c r="I69" s="179">
        <v>45</v>
      </c>
      <c r="J69" s="130">
        <v>165</v>
      </c>
    </row>
    <row r="70" spans="2:18">
      <c r="B70" s="97" t="s">
        <v>422</v>
      </c>
      <c r="C70" s="179">
        <v>27</v>
      </c>
      <c r="D70" s="130">
        <v>103</v>
      </c>
      <c r="E70" s="179">
        <v>27</v>
      </c>
      <c r="F70" s="130">
        <v>85</v>
      </c>
      <c r="G70" s="179">
        <v>20</v>
      </c>
      <c r="H70" s="130">
        <v>67</v>
      </c>
      <c r="I70" s="179">
        <v>9</v>
      </c>
      <c r="J70" s="130">
        <v>44</v>
      </c>
    </row>
    <row r="71" spans="2:18">
      <c r="B71" s="172" t="s">
        <v>3</v>
      </c>
      <c r="C71" s="180">
        <v>267</v>
      </c>
      <c r="D71" s="180">
        <v>913</v>
      </c>
      <c r="E71" s="180">
        <v>225</v>
      </c>
      <c r="F71" s="181">
        <v>761</v>
      </c>
      <c r="G71" s="180">
        <v>173</v>
      </c>
      <c r="H71" s="180">
        <v>628</v>
      </c>
      <c r="I71" s="180">
        <v>259</v>
      </c>
      <c r="J71" s="181">
        <v>491</v>
      </c>
    </row>
    <row r="72" spans="2:18">
      <c r="B72" s="77" t="s">
        <v>465</v>
      </c>
      <c r="C72" s="134"/>
      <c r="D72" s="134"/>
      <c r="F72" s="134"/>
    </row>
    <row r="73" spans="2:18">
      <c r="B73" s="77" t="s">
        <v>466</v>
      </c>
    </row>
    <row r="74" spans="2:18">
      <c r="B74" s="182" t="s">
        <v>1144</v>
      </c>
    </row>
    <row r="75" spans="2:18">
      <c r="B75" s="182"/>
    </row>
    <row r="76" spans="2:18" ht="15.6">
      <c r="B76" s="83" t="s">
        <v>134</v>
      </c>
    </row>
    <row r="77" spans="2:18">
      <c r="B77" s="93" t="s">
        <v>463</v>
      </c>
    </row>
    <row r="78" spans="2:18">
      <c r="B78" s="174"/>
      <c r="C78" s="174">
        <v>2020</v>
      </c>
      <c r="D78" s="174"/>
      <c r="E78" s="174">
        <v>2020</v>
      </c>
      <c r="F78" s="174"/>
      <c r="G78" s="1565">
        <v>2019</v>
      </c>
      <c r="H78" s="1565"/>
      <c r="I78" s="174">
        <v>2019</v>
      </c>
      <c r="J78" s="174"/>
      <c r="K78" s="671">
        <v>2018</v>
      </c>
      <c r="L78" s="174"/>
      <c r="M78" s="174">
        <v>2018</v>
      </c>
      <c r="N78" s="174"/>
      <c r="O78" s="1565">
        <v>2017</v>
      </c>
      <c r="P78" s="1565"/>
      <c r="Q78" s="174">
        <v>2017</v>
      </c>
      <c r="R78" s="174"/>
    </row>
    <row r="79" spans="2:18" ht="15" customHeight="1">
      <c r="B79" s="174"/>
      <c r="C79" s="1565" t="s">
        <v>467</v>
      </c>
      <c r="D79" s="1565"/>
      <c r="E79" s="1565" t="s">
        <v>50</v>
      </c>
      <c r="F79" s="1565"/>
      <c r="G79" s="1565" t="s">
        <v>467</v>
      </c>
      <c r="H79" s="1565"/>
      <c r="I79" s="1565" t="s">
        <v>50</v>
      </c>
      <c r="J79" s="1565"/>
      <c r="K79" s="1566" t="s">
        <v>467</v>
      </c>
      <c r="L79" s="1565"/>
      <c r="M79" s="1565" t="s">
        <v>50</v>
      </c>
      <c r="N79" s="1565"/>
      <c r="O79" s="1565" t="s">
        <v>467</v>
      </c>
      <c r="P79" s="1565"/>
      <c r="Q79" s="1565" t="s">
        <v>50</v>
      </c>
      <c r="R79" s="1565"/>
    </row>
    <row r="80" spans="2:18" ht="20.399999999999999">
      <c r="B80" s="172" t="s">
        <v>420</v>
      </c>
      <c r="C80" s="227" t="s">
        <v>426</v>
      </c>
      <c r="D80" s="227" t="s">
        <v>333</v>
      </c>
      <c r="E80" s="227" t="s">
        <v>426</v>
      </c>
      <c r="F80" s="227" t="s">
        <v>428</v>
      </c>
      <c r="G80" s="227" t="s">
        <v>426</v>
      </c>
      <c r="H80" s="227" t="s">
        <v>333</v>
      </c>
      <c r="I80" s="227" t="s">
        <v>426</v>
      </c>
      <c r="J80" s="227" t="s">
        <v>428</v>
      </c>
      <c r="K80" s="672" t="s">
        <v>426</v>
      </c>
      <c r="L80" s="227" t="s">
        <v>333</v>
      </c>
      <c r="M80" s="227" t="s">
        <v>426</v>
      </c>
      <c r="N80" s="227" t="s">
        <v>428</v>
      </c>
      <c r="O80" s="227" t="s">
        <v>426</v>
      </c>
      <c r="P80" s="227" t="s">
        <v>333</v>
      </c>
      <c r="Q80" s="227" t="s">
        <v>426</v>
      </c>
      <c r="R80" s="227" t="s">
        <v>428</v>
      </c>
    </row>
    <row r="81" spans="2:18" ht="15" thickBot="1">
      <c r="B81" s="84" t="s">
        <v>409</v>
      </c>
      <c r="C81" s="178">
        <v>16</v>
      </c>
      <c r="D81" s="175">
        <v>40</v>
      </c>
      <c r="E81" s="178">
        <v>24</v>
      </c>
      <c r="F81" s="175">
        <v>32</v>
      </c>
      <c r="G81" s="178">
        <v>16</v>
      </c>
      <c r="H81" s="175">
        <v>40</v>
      </c>
      <c r="I81" s="178">
        <v>24</v>
      </c>
      <c r="J81" s="175">
        <v>32</v>
      </c>
      <c r="K81" s="673">
        <v>27.5</v>
      </c>
      <c r="L81" s="175">
        <v>59</v>
      </c>
      <c r="M81" s="178">
        <v>19</v>
      </c>
      <c r="N81" s="175">
        <v>32</v>
      </c>
      <c r="O81" s="178">
        <v>27.13</v>
      </c>
      <c r="P81" s="175">
        <v>58.4</v>
      </c>
      <c r="Q81" s="178">
        <v>16</v>
      </c>
      <c r="R81" s="175">
        <v>29</v>
      </c>
    </row>
    <row r="82" spans="2:18" ht="15" thickBot="1">
      <c r="B82" s="84" t="s">
        <v>410</v>
      </c>
      <c r="C82" s="179">
        <v>56</v>
      </c>
      <c r="D82" s="175">
        <v>656</v>
      </c>
      <c r="E82" s="200">
        <v>0</v>
      </c>
      <c r="F82" s="46">
        <v>0</v>
      </c>
      <c r="G82" s="179">
        <v>40</v>
      </c>
      <c r="H82" s="175">
        <v>570</v>
      </c>
      <c r="I82" s="179"/>
      <c r="J82" s="46"/>
      <c r="K82" s="674">
        <v>29</v>
      </c>
      <c r="L82" s="175">
        <v>477</v>
      </c>
      <c r="M82" s="200" t="s">
        <v>59</v>
      </c>
      <c r="N82" s="46" t="s">
        <v>59</v>
      </c>
      <c r="O82" s="179">
        <v>9.7750000000000004</v>
      </c>
      <c r="P82" s="175">
        <v>195.5</v>
      </c>
      <c r="Q82" s="179"/>
      <c r="R82" s="46" t="s">
        <v>158</v>
      </c>
    </row>
    <row r="83" spans="2:18" ht="15" thickBot="1">
      <c r="B83" s="84" t="s">
        <v>411</v>
      </c>
      <c r="C83" s="179">
        <v>8</v>
      </c>
      <c r="D83" s="175">
        <v>39</v>
      </c>
      <c r="E83" s="200">
        <v>0</v>
      </c>
      <c r="F83" s="46">
        <v>0</v>
      </c>
      <c r="G83" s="179">
        <v>15</v>
      </c>
      <c r="H83" s="175">
        <v>63</v>
      </c>
      <c r="I83" s="179"/>
      <c r="J83" s="46"/>
      <c r="K83" s="674">
        <v>11</v>
      </c>
      <c r="L83" s="175">
        <v>60</v>
      </c>
      <c r="M83" s="200" t="s">
        <v>59</v>
      </c>
      <c r="N83" s="46" t="s">
        <v>59</v>
      </c>
      <c r="O83" s="179">
        <v>8.49</v>
      </c>
      <c r="P83" s="175">
        <v>70</v>
      </c>
      <c r="Q83" s="179"/>
      <c r="R83" s="46" t="s">
        <v>158</v>
      </c>
    </row>
    <row r="84" spans="2:18" ht="15" thickBot="1">
      <c r="B84" s="84" t="s">
        <v>412</v>
      </c>
      <c r="C84" s="179">
        <v>124</v>
      </c>
      <c r="D84" s="175">
        <v>168</v>
      </c>
      <c r="E84" s="179">
        <v>1174</v>
      </c>
      <c r="F84" s="175">
        <v>1056</v>
      </c>
      <c r="G84" s="179">
        <v>203</v>
      </c>
      <c r="H84" s="175">
        <v>272</v>
      </c>
      <c r="I84" s="179">
        <v>1175</v>
      </c>
      <c r="J84" s="175">
        <v>1012</v>
      </c>
      <c r="K84" s="674">
        <v>198</v>
      </c>
      <c r="L84" s="175">
        <v>292</v>
      </c>
      <c r="M84" s="179">
        <v>1049</v>
      </c>
      <c r="N84" s="175">
        <v>986</v>
      </c>
      <c r="O84" s="179">
        <v>484.60050000000001</v>
      </c>
      <c r="P84" s="175">
        <v>418</v>
      </c>
      <c r="Q84" s="179">
        <v>850</v>
      </c>
      <c r="R84" s="175">
        <v>916</v>
      </c>
    </row>
    <row r="85" spans="2:18" ht="15" thickBot="1">
      <c r="B85" s="84" t="s">
        <v>456</v>
      </c>
      <c r="C85" s="179">
        <v>196</v>
      </c>
      <c r="D85" s="175">
        <v>708</v>
      </c>
      <c r="E85" s="179">
        <v>125</v>
      </c>
      <c r="F85" s="175">
        <v>377</v>
      </c>
      <c r="G85" s="179">
        <v>178</v>
      </c>
      <c r="H85" s="175">
        <v>679</v>
      </c>
      <c r="I85" s="179">
        <v>192</v>
      </c>
      <c r="J85" s="175">
        <v>370</v>
      </c>
      <c r="K85" s="674">
        <v>147</v>
      </c>
      <c r="L85" s="175">
        <v>606</v>
      </c>
      <c r="M85" s="179">
        <v>119</v>
      </c>
      <c r="N85" s="175">
        <v>372</v>
      </c>
      <c r="O85" s="179">
        <v>99.179500000000004</v>
      </c>
      <c r="P85" s="175">
        <v>462</v>
      </c>
      <c r="Q85" s="179">
        <v>91</v>
      </c>
      <c r="R85" s="175">
        <v>355</v>
      </c>
    </row>
    <row r="86" spans="2:18" ht="15" thickBot="1">
      <c r="B86" s="84" t="s">
        <v>415</v>
      </c>
      <c r="C86" s="179">
        <v>278</v>
      </c>
      <c r="D86" s="175">
        <v>557</v>
      </c>
      <c r="E86" s="179">
        <v>31</v>
      </c>
      <c r="F86" s="175">
        <v>35</v>
      </c>
      <c r="G86" s="179">
        <v>201</v>
      </c>
      <c r="H86" s="175">
        <v>503</v>
      </c>
      <c r="I86" s="179">
        <v>33</v>
      </c>
      <c r="J86" s="175">
        <v>37</v>
      </c>
      <c r="K86" s="674">
        <v>198</v>
      </c>
      <c r="L86" s="175">
        <v>485</v>
      </c>
      <c r="M86" s="179">
        <v>36</v>
      </c>
      <c r="N86" s="175">
        <v>46</v>
      </c>
      <c r="O86" s="179">
        <v>172.26</v>
      </c>
      <c r="P86" s="175">
        <v>319</v>
      </c>
      <c r="Q86" s="179">
        <v>34</v>
      </c>
      <c r="R86" s="175">
        <v>38</v>
      </c>
    </row>
    <row r="87" spans="2:18" ht="15" thickBot="1">
      <c r="B87" s="84" t="s">
        <v>417</v>
      </c>
      <c r="C87" s="179">
        <v>148</v>
      </c>
      <c r="D87" s="175">
        <v>172</v>
      </c>
      <c r="E87" s="179">
        <v>139</v>
      </c>
      <c r="F87" s="175">
        <v>148</v>
      </c>
      <c r="G87" s="179">
        <v>114</v>
      </c>
      <c r="H87" s="175">
        <v>148</v>
      </c>
      <c r="I87" s="179">
        <v>104</v>
      </c>
      <c r="J87" s="175">
        <v>124</v>
      </c>
      <c r="K87" s="674">
        <v>110</v>
      </c>
      <c r="L87" s="175">
        <v>152</v>
      </c>
      <c r="M87" s="179">
        <v>147</v>
      </c>
      <c r="N87" s="175">
        <v>135</v>
      </c>
      <c r="O87" s="179">
        <v>141.41999999999999</v>
      </c>
      <c r="P87" s="175">
        <v>151</v>
      </c>
      <c r="Q87" s="179">
        <v>124</v>
      </c>
      <c r="R87" s="175">
        <v>155</v>
      </c>
    </row>
    <row r="88" spans="2:18" ht="15" thickBot="1">
      <c r="B88" s="84" t="s">
        <v>418</v>
      </c>
      <c r="C88" s="179">
        <v>39</v>
      </c>
      <c r="D88" s="175">
        <v>84</v>
      </c>
      <c r="E88" s="179">
        <v>236</v>
      </c>
      <c r="F88" s="175">
        <v>297</v>
      </c>
      <c r="G88" s="179">
        <v>39</v>
      </c>
      <c r="H88" s="175">
        <v>84</v>
      </c>
      <c r="I88" s="179">
        <v>232</v>
      </c>
      <c r="J88" s="175">
        <v>289</v>
      </c>
      <c r="K88" s="674">
        <v>42</v>
      </c>
      <c r="L88" s="175">
        <v>91</v>
      </c>
      <c r="M88" s="179">
        <v>225</v>
      </c>
      <c r="N88" s="175">
        <v>279</v>
      </c>
      <c r="O88" s="179">
        <v>36.83</v>
      </c>
      <c r="P88" s="175">
        <v>81</v>
      </c>
      <c r="Q88" s="179">
        <v>207</v>
      </c>
      <c r="R88" s="175">
        <v>259</v>
      </c>
    </row>
    <row r="89" spans="2:18">
      <c r="B89" s="97" t="s">
        <v>129</v>
      </c>
      <c r="C89" s="179">
        <v>26</v>
      </c>
      <c r="D89" s="176">
        <v>65</v>
      </c>
      <c r="E89" s="675">
        <v>227</v>
      </c>
      <c r="F89" s="676">
        <v>213</v>
      </c>
      <c r="G89" s="675">
        <v>42</v>
      </c>
      <c r="H89" s="176">
        <v>92</v>
      </c>
      <c r="I89" s="179">
        <v>205</v>
      </c>
      <c r="J89" s="176">
        <v>200</v>
      </c>
      <c r="K89" s="674">
        <v>33</v>
      </c>
      <c r="L89" s="176">
        <v>62</v>
      </c>
      <c r="M89" s="179">
        <v>199</v>
      </c>
      <c r="N89" s="176">
        <v>243</v>
      </c>
      <c r="O89" s="179">
        <v>28.3</v>
      </c>
      <c r="P89" s="176">
        <v>56</v>
      </c>
      <c r="Q89" s="179">
        <v>176</v>
      </c>
      <c r="R89" s="176">
        <v>148</v>
      </c>
    </row>
    <row r="90" spans="2:18">
      <c r="B90" s="172" t="s">
        <v>3</v>
      </c>
      <c r="C90" s="201">
        <v>891</v>
      </c>
      <c r="D90" s="177">
        <v>2489</v>
      </c>
      <c r="E90" s="201">
        <v>1956</v>
      </c>
      <c r="F90" s="177">
        <v>2158</v>
      </c>
      <c r="G90" s="181">
        <v>848</v>
      </c>
      <c r="H90" s="177">
        <v>2451</v>
      </c>
      <c r="I90" s="181">
        <v>1965</v>
      </c>
      <c r="J90" s="177">
        <v>2064</v>
      </c>
      <c r="K90" s="677">
        <v>795.7</v>
      </c>
      <c r="L90" s="177">
        <v>2284</v>
      </c>
      <c r="M90" s="201">
        <v>1794</v>
      </c>
      <c r="N90" s="177">
        <v>2093</v>
      </c>
      <c r="O90" s="181">
        <v>1008</v>
      </c>
      <c r="P90" s="177">
        <v>1811</v>
      </c>
      <c r="Q90" s="181">
        <v>1498</v>
      </c>
      <c r="R90" s="177">
        <v>1900</v>
      </c>
    </row>
    <row r="91" spans="2:18">
      <c r="B91" s="182" t="s">
        <v>1144</v>
      </c>
      <c r="E91" s="134"/>
      <c r="F91" s="134"/>
      <c r="I91" s="134"/>
      <c r="J91" s="134"/>
    </row>
    <row r="92" spans="2:18">
      <c r="C92" s="134"/>
      <c r="D92" s="134"/>
    </row>
    <row r="95" spans="2:18" ht="15.6">
      <c r="B95" s="83" t="s">
        <v>468</v>
      </c>
    </row>
    <row r="96" spans="2:18">
      <c r="B96" s="93" t="s">
        <v>463</v>
      </c>
    </row>
    <row r="97" spans="2:10">
      <c r="B97" s="174"/>
      <c r="C97" s="1565">
        <v>2020</v>
      </c>
      <c r="D97" s="1565"/>
      <c r="E97" s="1565">
        <v>2019</v>
      </c>
      <c r="F97" s="1565"/>
      <c r="G97" s="1565">
        <v>2018</v>
      </c>
      <c r="H97" s="1565"/>
      <c r="I97" s="1565">
        <v>2017</v>
      </c>
      <c r="J97" s="1565"/>
    </row>
    <row r="98" spans="2:10">
      <c r="B98" s="174"/>
      <c r="C98" s="174" t="s">
        <v>424</v>
      </c>
      <c r="D98" s="174" t="s">
        <v>428</v>
      </c>
      <c r="E98" s="174" t="s">
        <v>424</v>
      </c>
      <c r="F98" s="174" t="s">
        <v>428</v>
      </c>
      <c r="G98" s="174" t="s">
        <v>424</v>
      </c>
      <c r="H98" s="174" t="s">
        <v>428</v>
      </c>
      <c r="I98" s="174" t="s">
        <v>424</v>
      </c>
      <c r="J98" s="174" t="s">
        <v>428</v>
      </c>
    </row>
    <row r="99" spans="2:10">
      <c r="B99" s="172" t="s">
        <v>420</v>
      </c>
      <c r="C99" s="174" t="s">
        <v>427</v>
      </c>
      <c r="D99" s="174" t="s">
        <v>419</v>
      </c>
      <c r="E99" s="174" t="s">
        <v>427</v>
      </c>
      <c r="F99" s="174" t="s">
        <v>419</v>
      </c>
      <c r="G99" s="174" t="s">
        <v>427</v>
      </c>
      <c r="H99" s="174" t="s">
        <v>419</v>
      </c>
      <c r="I99" s="174" t="s">
        <v>427</v>
      </c>
      <c r="J99" s="174" t="s">
        <v>419</v>
      </c>
    </row>
    <row r="100" spans="2:10" ht="15" thickBot="1">
      <c r="B100" s="84" t="s">
        <v>455</v>
      </c>
      <c r="C100" s="174">
        <v>8</v>
      </c>
      <c r="D100" s="175">
        <v>20</v>
      </c>
      <c r="E100" s="178">
        <v>8</v>
      </c>
      <c r="F100" s="175">
        <v>24</v>
      </c>
      <c r="G100" s="174">
        <v>15</v>
      </c>
      <c r="H100" s="175">
        <v>36</v>
      </c>
      <c r="I100" s="178">
        <v>11.73</v>
      </c>
      <c r="J100" s="175">
        <v>27</v>
      </c>
    </row>
    <row r="101" spans="2:10" ht="15" thickBot="1">
      <c r="B101" s="84" t="s">
        <v>409</v>
      </c>
      <c r="C101" s="178">
        <v>50</v>
      </c>
      <c r="D101" s="175">
        <v>157</v>
      </c>
      <c r="E101" s="178">
        <v>50</v>
      </c>
      <c r="F101" s="175">
        <v>157</v>
      </c>
      <c r="G101" s="178">
        <v>50</v>
      </c>
      <c r="H101" s="175">
        <v>157</v>
      </c>
      <c r="I101" s="178">
        <v>46.49</v>
      </c>
      <c r="J101" s="175">
        <v>152</v>
      </c>
    </row>
    <row r="102" spans="2:10" ht="15" thickBot="1">
      <c r="B102" s="84" t="s">
        <v>412</v>
      </c>
      <c r="C102" s="179">
        <v>29</v>
      </c>
      <c r="D102" s="175">
        <v>111</v>
      </c>
      <c r="E102" s="179">
        <v>50</v>
      </c>
      <c r="F102" s="175">
        <v>297</v>
      </c>
      <c r="G102" s="179">
        <v>61</v>
      </c>
      <c r="H102" s="175">
        <v>339</v>
      </c>
      <c r="I102" s="179">
        <v>6.67</v>
      </c>
      <c r="J102" s="175">
        <v>188.6</v>
      </c>
    </row>
    <row r="103" spans="2:10" ht="15" thickBot="1">
      <c r="B103" s="84" t="s">
        <v>413</v>
      </c>
      <c r="C103" s="179">
        <v>4</v>
      </c>
      <c r="D103" s="175">
        <v>45</v>
      </c>
      <c r="E103" s="179">
        <v>1</v>
      </c>
      <c r="F103" s="175">
        <v>15</v>
      </c>
      <c r="G103" s="179">
        <v>30</v>
      </c>
      <c r="H103" s="175">
        <v>95</v>
      </c>
      <c r="I103" s="179">
        <v>8.7200000000000006</v>
      </c>
      <c r="J103" s="175">
        <v>76.400000000000006</v>
      </c>
    </row>
    <row r="104" spans="2:10" ht="15" thickBot="1">
      <c r="B104" s="84" t="s">
        <v>414</v>
      </c>
      <c r="C104" s="179">
        <v>15</v>
      </c>
      <c r="D104" s="175">
        <v>37</v>
      </c>
      <c r="E104" s="179">
        <v>15</v>
      </c>
      <c r="F104" s="175">
        <v>36</v>
      </c>
      <c r="G104" s="179">
        <v>14</v>
      </c>
      <c r="H104" s="175">
        <v>38</v>
      </c>
      <c r="I104" s="179">
        <v>12.94</v>
      </c>
      <c r="J104" s="175">
        <v>13</v>
      </c>
    </row>
    <row r="105" spans="2:10" ht="15" thickBot="1">
      <c r="B105" s="84" t="s">
        <v>416</v>
      </c>
      <c r="C105" s="179">
        <v>29</v>
      </c>
      <c r="D105" s="175">
        <v>830</v>
      </c>
      <c r="E105" s="179">
        <v>26</v>
      </c>
      <c r="F105" s="175">
        <v>714</v>
      </c>
      <c r="G105" s="179">
        <v>25</v>
      </c>
      <c r="H105" s="175">
        <v>704</v>
      </c>
      <c r="I105" s="179">
        <v>19.91</v>
      </c>
      <c r="J105" s="175">
        <v>472.5</v>
      </c>
    </row>
    <row r="106" spans="2:10" ht="15" thickBot="1">
      <c r="B106" s="84" t="s">
        <v>417</v>
      </c>
      <c r="C106" s="179">
        <v>179</v>
      </c>
      <c r="D106" s="175">
        <v>689</v>
      </c>
      <c r="E106" s="179">
        <v>134</v>
      </c>
      <c r="F106" s="175">
        <v>583</v>
      </c>
      <c r="G106" s="179">
        <v>155</v>
      </c>
      <c r="H106" s="175">
        <v>585</v>
      </c>
      <c r="I106" s="179">
        <v>83.34</v>
      </c>
      <c r="J106" s="175">
        <v>542</v>
      </c>
    </row>
    <row r="107" spans="2:10" ht="15" thickBot="1">
      <c r="B107" s="97" t="s">
        <v>418</v>
      </c>
      <c r="C107" s="179">
        <v>93</v>
      </c>
      <c r="D107" s="175">
        <v>333</v>
      </c>
      <c r="E107" s="179">
        <v>90</v>
      </c>
      <c r="F107" s="175">
        <v>360</v>
      </c>
      <c r="G107" s="179">
        <v>88</v>
      </c>
      <c r="H107" s="175">
        <v>350</v>
      </c>
      <c r="I107" s="179">
        <v>84.01</v>
      </c>
      <c r="J107" s="175">
        <v>340.5</v>
      </c>
    </row>
    <row r="108" spans="2:10">
      <c r="B108" s="97" t="s">
        <v>129</v>
      </c>
      <c r="C108" s="179">
        <v>7</v>
      </c>
      <c r="D108" s="176">
        <v>52</v>
      </c>
      <c r="E108" s="179">
        <v>11</v>
      </c>
      <c r="F108" s="176">
        <v>45</v>
      </c>
      <c r="G108" s="179">
        <v>12</v>
      </c>
      <c r="H108" s="176">
        <v>60</v>
      </c>
      <c r="I108" s="179">
        <v>13.19</v>
      </c>
      <c r="J108" s="176">
        <v>83</v>
      </c>
    </row>
    <row r="109" spans="2:10">
      <c r="B109" s="172" t="s">
        <v>3</v>
      </c>
      <c r="C109" s="177">
        <v>414</v>
      </c>
      <c r="D109" s="177">
        <v>2274</v>
      </c>
      <c r="E109" s="177">
        <v>385</v>
      </c>
      <c r="F109" s="177">
        <v>2231</v>
      </c>
      <c r="G109" s="177">
        <v>450</v>
      </c>
      <c r="H109" s="177">
        <v>2364</v>
      </c>
      <c r="I109" s="177">
        <v>287</v>
      </c>
      <c r="J109" s="177">
        <v>1895</v>
      </c>
    </row>
    <row r="110" spans="2:10">
      <c r="B110" s="182" t="s">
        <v>1144</v>
      </c>
      <c r="C110" s="139"/>
      <c r="D110" s="139"/>
    </row>
  </sheetData>
  <mergeCells count="18">
    <mergeCell ref="C60:D60"/>
    <mergeCell ref="E60:F60"/>
    <mergeCell ref="G60:H60"/>
    <mergeCell ref="I60:J60"/>
    <mergeCell ref="G78:H78"/>
    <mergeCell ref="O78:P78"/>
    <mergeCell ref="M79:N79"/>
    <mergeCell ref="O79:P79"/>
    <mergeCell ref="Q79:R79"/>
    <mergeCell ref="K79:L79"/>
    <mergeCell ref="C97:D97"/>
    <mergeCell ref="E97:F97"/>
    <mergeCell ref="G97:H97"/>
    <mergeCell ref="I97:J97"/>
    <mergeCell ref="C79:D79"/>
    <mergeCell ref="E79:F79"/>
    <mergeCell ref="G79:H79"/>
    <mergeCell ref="I79:J79"/>
  </mergeCells>
  <pageMargins left="0.7" right="0.7" top="0.78740157499999996" bottom="0.78740157499999996" header="0.3" footer="0.3"/>
  <pageSetup paperSize="9" orientation="portrait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50"/>
  </sheetPr>
  <dimension ref="B2:I195"/>
  <sheetViews>
    <sheetView topLeftCell="A153" zoomScale="90" zoomScaleNormal="90" workbookViewId="0">
      <selection activeCell="F19" sqref="F19"/>
    </sheetView>
  </sheetViews>
  <sheetFormatPr defaultColWidth="11.44140625" defaultRowHeight="14.4"/>
  <cols>
    <col min="2" max="2" width="35.88671875" customWidth="1"/>
    <col min="4" max="4" width="21" customWidth="1"/>
    <col min="5" max="5" width="22.5546875" customWidth="1"/>
    <col min="7" max="7" width="29.5546875" customWidth="1"/>
  </cols>
  <sheetData>
    <row r="2" spans="2:4" ht="15.6">
      <c r="B2" s="83" t="s">
        <v>1146</v>
      </c>
    </row>
    <row r="3" spans="2:4" ht="15.6">
      <c r="B3" s="83"/>
    </row>
    <row r="4" spans="2:4" ht="15.6">
      <c r="B4" s="83"/>
    </row>
    <row r="5" spans="2:4" ht="15.6">
      <c r="B5" s="83" t="s">
        <v>2417</v>
      </c>
    </row>
    <row r="6" spans="2:4" ht="15.6">
      <c r="B6" s="83"/>
    </row>
    <row r="7" spans="2:4">
      <c r="B7" s="13" t="s">
        <v>530</v>
      </c>
      <c r="C7" s="239">
        <v>59</v>
      </c>
      <c r="D7" s="240" t="s">
        <v>531</v>
      </c>
    </row>
    <row r="8" spans="2:4">
      <c r="B8" s="13" t="s">
        <v>532</v>
      </c>
      <c r="C8" s="645">
        <v>302100</v>
      </c>
      <c r="D8" s="240" t="s">
        <v>533</v>
      </c>
    </row>
    <row r="9" spans="2:4">
      <c r="B9" s="242" t="s">
        <v>534</v>
      </c>
      <c r="C9" s="243">
        <v>200</v>
      </c>
      <c r="D9" s="244" t="s">
        <v>535</v>
      </c>
    </row>
    <row r="10" spans="2:4" ht="15" customHeight="1">
      <c r="B10" s="245"/>
      <c r="C10" s="246"/>
      <c r="D10" s="240"/>
    </row>
    <row r="11" spans="2:4" ht="15.6">
      <c r="B11" s="13" t="s">
        <v>536</v>
      </c>
      <c r="C11" s="247">
        <v>2259</v>
      </c>
      <c r="D11" s="240" t="s">
        <v>537</v>
      </c>
    </row>
    <row r="12" spans="2:4">
      <c r="B12" s="245" t="s">
        <v>538</v>
      </c>
      <c r="C12" s="246">
        <v>38290</v>
      </c>
      <c r="D12" s="240" t="s">
        <v>539</v>
      </c>
    </row>
    <row r="13" spans="2:4" ht="15" customHeight="1">
      <c r="B13" s="13" t="s">
        <v>540</v>
      </c>
      <c r="C13" s="247">
        <v>3566</v>
      </c>
      <c r="D13" s="240" t="s">
        <v>537</v>
      </c>
    </row>
    <row r="14" spans="2:4">
      <c r="B14" s="245" t="s">
        <v>541</v>
      </c>
      <c r="C14" s="246"/>
      <c r="D14" s="240"/>
    </row>
    <row r="15" spans="2:4" ht="15" customHeight="1">
      <c r="B15" s="245" t="s">
        <v>538</v>
      </c>
      <c r="C15" s="246">
        <v>60460</v>
      </c>
      <c r="D15" s="240" t="s">
        <v>542</v>
      </c>
    </row>
    <row r="16" spans="2:4">
      <c r="B16" s="248"/>
      <c r="C16" s="249"/>
      <c r="D16" s="244"/>
    </row>
    <row r="17" spans="2:5">
      <c r="B17" s="13" t="s">
        <v>543</v>
      </c>
      <c r="C17" s="239">
        <v>0.7</v>
      </c>
      <c r="D17" s="240" t="s">
        <v>544</v>
      </c>
    </row>
    <row r="18" spans="2:5">
      <c r="B18" s="13" t="s">
        <v>545</v>
      </c>
      <c r="C18" s="239">
        <v>0.7</v>
      </c>
      <c r="D18" s="240" t="s">
        <v>546</v>
      </c>
    </row>
    <row r="19" spans="2:5" ht="15" customHeight="1">
      <c r="B19" s="245"/>
      <c r="C19" s="246"/>
      <c r="D19" s="246"/>
    </row>
    <row r="20" spans="2:5">
      <c r="B20" s="250" t="s">
        <v>712</v>
      </c>
      <c r="C20" s="251"/>
      <c r="D20" s="251"/>
    </row>
    <row r="21" spans="2:5">
      <c r="B21" s="252" t="s">
        <v>2415</v>
      </c>
      <c r="C21" s="253"/>
      <c r="D21" s="253"/>
    </row>
    <row r="22" spans="2:5">
      <c r="E22" s="240"/>
    </row>
    <row r="23" spans="2:5">
      <c r="E23" s="251"/>
    </row>
    <row r="24" spans="2:5" ht="15.6">
      <c r="B24" s="86" t="s">
        <v>748</v>
      </c>
      <c r="C24" s="78"/>
      <c r="D24" s="78"/>
      <c r="E24" s="78"/>
    </row>
    <row r="25" spans="2:5" ht="15.6">
      <c r="B25" s="290" t="s">
        <v>1147</v>
      </c>
      <c r="C25" s="78"/>
      <c r="D25" s="78"/>
      <c r="E25" s="78"/>
    </row>
    <row r="27" spans="2:5">
      <c r="B27" s="678"/>
      <c r="C27" s="678"/>
      <c r="D27" s="679"/>
      <c r="E27" s="678"/>
    </row>
    <row r="28" spans="2:5" ht="29.4">
      <c r="B28" s="680" t="s">
        <v>1148</v>
      </c>
      <c r="C28" s="682" t="s">
        <v>56</v>
      </c>
      <c r="D28" s="682" t="s">
        <v>70</v>
      </c>
      <c r="E28" s="682" t="s">
        <v>925</v>
      </c>
    </row>
    <row r="29" spans="2:5">
      <c r="B29" t="s">
        <v>2410</v>
      </c>
      <c r="C29" s="1318">
        <v>3251</v>
      </c>
    </row>
    <row r="30" spans="2:5">
      <c r="B30" s="670">
        <v>2023</v>
      </c>
      <c r="C30" s="1318">
        <v>3143</v>
      </c>
      <c r="D30" s="1318">
        <v>1679</v>
      </c>
      <c r="E30" s="1318">
        <v>1465</v>
      </c>
    </row>
    <row r="31" spans="2:5">
      <c r="B31" s="670">
        <v>2022</v>
      </c>
      <c r="C31" s="1320">
        <v>3139</v>
      </c>
      <c r="D31" s="1318">
        <v>1678</v>
      </c>
      <c r="E31" s="1318">
        <v>1462</v>
      </c>
    </row>
    <row r="32" spans="2:5">
      <c r="B32" s="370">
        <v>2021</v>
      </c>
      <c r="C32" s="516">
        <v>2782</v>
      </c>
      <c r="D32" s="516">
        <v>1505</v>
      </c>
      <c r="E32" s="517">
        <v>1311</v>
      </c>
    </row>
    <row r="33" spans="2:7">
      <c r="B33" s="370">
        <v>2020</v>
      </c>
      <c r="C33" s="516">
        <v>2648</v>
      </c>
      <c r="D33" s="516">
        <v>1418</v>
      </c>
      <c r="E33" s="517">
        <v>1231</v>
      </c>
    </row>
    <row r="34" spans="2:7">
      <c r="B34" s="370">
        <v>2019</v>
      </c>
      <c r="C34" s="516">
        <v>2715</v>
      </c>
      <c r="D34" s="516">
        <v>1445</v>
      </c>
      <c r="E34" s="517">
        <v>1269</v>
      </c>
    </row>
    <row r="35" spans="2:7">
      <c r="B35" s="370">
        <v>2018</v>
      </c>
      <c r="C35" s="516">
        <v>2564</v>
      </c>
      <c r="D35" s="517">
        <v>1399</v>
      </c>
      <c r="E35" s="517">
        <v>1166</v>
      </c>
    </row>
    <row r="36" spans="2:7">
      <c r="B36" s="370">
        <v>2017</v>
      </c>
      <c r="C36" s="516">
        <v>2538</v>
      </c>
      <c r="D36" s="517">
        <v>1376</v>
      </c>
      <c r="E36" s="517">
        <v>1163</v>
      </c>
    </row>
    <row r="37" spans="2:7">
      <c r="B37" s="370">
        <v>2016</v>
      </c>
      <c r="C37" s="516">
        <v>2450</v>
      </c>
      <c r="D37" s="517">
        <v>1325</v>
      </c>
      <c r="E37" s="517">
        <v>1125</v>
      </c>
    </row>
    <row r="38" spans="2:7">
      <c r="B38" s="373">
        <v>2015</v>
      </c>
      <c r="C38" s="517">
        <v>2487</v>
      </c>
      <c r="D38" s="517">
        <v>1342</v>
      </c>
      <c r="E38" s="517">
        <v>1146</v>
      </c>
    </row>
    <row r="39" spans="2:7">
      <c r="B39" s="373">
        <v>2014</v>
      </c>
      <c r="C39" s="517">
        <v>2586</v>
      </c>
      <c r="D39" s="517">
        <v>1383</v>
      </c>
      <c r="E39" s="517">
        <v>1202</v>
      </c>
    </row>
    <row r="40" spans="2:7">
      <c r="B40" s="373">
        <v>2013</v>
      </c>
      <c r="C40" s="517">
        <v>2613</v>
      </c>
      <c r="D40" s="517">
        <v>1389</v>
      </c>
      <c r="E40" s="517">
        <v>1224.18</v>
      </c>
    </row>
    <row r="41" spans="2:7">
      <c r="B41" s="375" t="s">
        <v>928</v>
      </c>
      <c r="C41" s="82"/>
      <c r="D41" s="82"/>
    </row>
    <row r="42" spans="2:7">
      <c r="B42" s="41" t="s">
        <v>754</v>
      </c>
    </row>
    <row r="45" spans="2:7" ht="15.6">
      <c r="B45" s="83" t="s">
        <v>56</v>
      </c>
    </row>
    <row r="46" spans="2:7">
      <c r="B46" s="93" t="s">
        <v>46</v>
      </c>
    </row>
    <row r="47" spans="2:7">
      <c r="B47" s="1089"/>
      <c r="C47" s="1089">
        <v>2020</v>
      </c>
      <c r="D47" s="683">
        <v>2010</v>
      </c>
      <c r="E47" s="683">
        <v>2000</v>
      </c>
      <c r="F47" s="683">
        <v>1990</v>
      </c>
      <c r="G47" s="683">
        <v>1982</v>
      </c>
    </row>
    <row r="48" spans="2:7" ht="15" customHeight="1">
      <c r="B48" s="684" t="s">
        <v>843</v>
      </c>
      <c r="C48" s="1123">
        <v>8815</v>
      </c>
      <c r="D48" s="694">
        <v>12724</v>
      </c>
      <c r="E48" s="685">
        <v>12693</v>
      </c>
      <c r="F48" s="685">
        <v>13671</v>
      </c>
      <c r="G48" s="685">
        <v>24996</v>
      </c>
    </row>
    <row r="49" spans="2:9">
      <c r="B49" s="684" t="s">
        <v>557</v>
      </c>
      <c r="C49" s="1123"/>
      <c r="D49" s="694">
        <v>7282</v>
      </c>
      <c r="E49" s="685"/>
      <c r="F49" s="685"/>
      <c r="G49" s="685"/>
    </row>
    <row r="50" spans="2:9">
      <c r="B50" s="684" t="s">
        <v>75</v>
      </c>
      <c r="C50" s="1123"/>
      <c r="D50" s="694">
        <v>5442</v>
      </c>
      <c r="E50" s="685"/>
      <c r="F50" s="685"/>
      <c r="G50" s="685"/>
    </row>
    <row r="51" spans="2:9">
      <c r="B51" s="686" t="s">
        <v>366</v>
      </c>
      <c r="C51" s="1124"/>
      <c r="D51" s="601">
        <v>4420</v>
      </c>
      <c r="E51" s="685"/>
      <c r="F51" s="685"/>
      <c r="G51" s="685"/>
    </row>
    <row r="52" spans="2:9">
      <c r="B52" s="686" t="s">
        <v>1149</v>
      </c>
      <c r="C52" s="1124"/>
      <c r="D52" s="601">
        <v>1022</v>
      </c>
      <c r="E52" s="685"/>
      <c r="F52" s="685"/>
      <c r="G52" s="685"/>
    </row>
    <row r="53" spans="2:9">
      <c r="B53" s="684" t="s">
        <v>1150</v>
      </c>
      <c r="C53" s="1123"/>
      <c r="D53" s="694">
        <v>1597</v>
      </c>
      <c r="E53" s="685"/>
      <c r="F53" s="685"/>
      <c r="G53" s="685"/>
    </row>
    <row r="54" spans="2:9">
      <c r="B54" s="684" t="s">
        <v>1151</v>
      </c>
      <c r="C54" s="1123">
        <v>31852</v>
      </c>
      <c r="D54" s="694">
        <v>27577</v>
      </c>
      <c r="E54" s="685">
        <v>21520</v>
      </c>
      <c r="F54" s="685">
        <v>15582</v>
      </c>
      <c r="G54" s="685">
        <v>9142</v>
      </c>
    </row>
    <row r="55" spans="2:9">
      <c r="B55" s="686" t="s">
        <v>1152</v>
      </c>
      <c r="C55" s="1124"/>
      <c r="D55" s="601">
        <v>3596</v>
      </c>
      <c r="E55" s="598"/>
      <c r="F55" s="598"/>
      <c r="G55" s="598"/>
    </row>
    <row r="56" spans="2:9">
      <c r="B56" s="686" t="s">
        <v>42</v>
      </c>
      <c r="C56" s="1124"/>
      <c r="D56" s="601">
        <v>15890</v>
      </c>
      <c r="E56" s="598"/>
      <c r="F56" s="598"/>
      <c r="G56" s="598"/>
    </row>
    <row r="57" spans="2:9">
      <c r="B57" s="686" t="s">
        <v>65</v>
      </c>
      <c r="C57" s="1124"/>
      <c r="D57" s="601">
        <v>8092</v>
      </c>
      <c r="E57" s="598"/>
      <c r="F57" s="598"/>
      <c r="G57" s="598"/>
    </row>
    <row r="58" spans="2:9">
      <c r="B58" s="87" t="s">
        <v>1837</v>
      </c>
      <c r="C58" s="1125"/>
      <c r="D58" s="72"/>
      <c r="E58" s="72"/>
      <c r="F58" s="72"/>
      <c r="G58" s="72"/>
      <c r="H58" s="72"/>
      <c r="I58" s="72"/>
    </row>
    <row r="59" spans="2:9">
      <c r="B59" s="687"/>
    </row>
    <row r="61" spans="2:9" ht="15.6">
      <c r="B61" s="83" t="s">
        <v>1153</v>
      </c>
    </row>
    <row r="62" spans="2:9">
      <c r="B62" s="93" t="s">
        <v>46</v>
      </c>
    </row>
    <row r="63" spans="2:9" ht="20.399999999999999">
      <c r="B63" s="688"/>
      <c r="C63" s="228" t="s">
        <v>3</v>
      </c>
      <c r="D63" s="228" t="s">
        <v>66</v>
      </c>
      <c r="E63" s="228" t="s">
        <v>1154</v>
      </c>
      <c r="F63" s="228" t="s">
        <v>1155</v>
      </c>
    </row>
    <row r="64" spans="2:9">
      <c r="B64" s="689" t="s">
        <v>1156</v>
      </c>
      <c r="C64" s="690">
        <v>5834</v>
      </c>
      <c r="D64" s="691">
        <v>3337</v>
      </c>
      <c r="E64" s="691">
        <v>2037</v>
      </c>
      <c r="F64" s="691">
        <v>459</v>
      </c>
    </row>
    <row r="65" spans="2:6">
      <c r="B65" s="596" t="s">
        <v>53</v>
      </c>
      <c r="C65" s="600">
        <v>2752</v>
      </c>
      <c r="D65" s="601">
        <v>740</v>
      </c>
      <c r="E65" s="601">
        <v>1830</v>
      </c>
      <c r="F65" s="601">
        <v>182</v>
      </c>
    </row>
    <row r="66" spans="2:6">
      <c r="B66" s="596" t="s">
        <v>1157</v>
      </c>
      <c r="C66" s="600">
        <v>3082</v>
      </c>
      <c r="D66" s="601">
        <v>2597</v>
      </c>
      <c r="E66" s="601">
        <v>208</v>
      </c>
      <c r="F66" s="601">
        <v>278</v>
      </c>
    </row>
    <row r="67" spans="2:6">
      <c r="B67" s="692"/>
      <c r="C67" s="693"/>
      <c r="D67" s="694"/>
      <c r="E67" s="601"/>
      <c r="F67" s="601"/>
    </row>
    <row r="68" spans="2:6">
      <c r="B68" s="692" t="s">
        <v>61</v>
      </c>
      <c r="C68" s="693">
        <v>5031</v>
      </c>
      <c r="D68" s="694">
        <v>2573</v>
      </c>
      <c r="E68" s="694">
        <v>2163</v>
      </c>
      <c r="F68" s="694">
        <v>295</v>
      </c>
    </row>
    <row r="69" spans="2:6">
      <c r="B69" s="596"/>
      <c r="C69" s="693"/>
      <c r="D69" s="694"/>
      <c r="E69" s="601"/>
      <c r="F69" s="601"/>
    </row>
    <row r="70" spans="2:6">
      <c r="B70" s="692" t="s">
        <v>70</v>
      </c>
      <c r="C70" s="693">
        <v>19573</v>
      </c>
      <c r="D70" s="694">
        <v>18900</v>
      </c>
      <c r="E70" s="694">
        <v>415</v>
      </c>
      <c r="F70" s="694">
        <v>258</v>
      </c>
    </row>
    <row r="71" spans="2:6">
      <c r="B71" s="596" t="s">
        <v>72</v>
      </c>
      <c r="C71" s="600">
        <v>380</v>
      </c>
      <c r="D71" s="601">
        <v>252</v>
      </c>
      <c r="E71" s="601">
        <v>103</v>
      </c>
      <c r="F71" s="601">
        <v>24</v>
      </c>
    </row>
    <row r="72" spans="2:6">
      <c r="B72" s="596" t="s">
        <v>1158</v>
      </c>
      <c r="C72" s="600">
        <v>201</v>
      </c>
      <c r="D72" s="601">
        <v>200</v>
      </c>
      <c r="E72" s="695">
        <v>1</v>
      </c>
      <c r="F72" s="601">
        <v>0.1</v>
      </c>
    </row>
    <row r="73" spans="2:6">
      <c r="B73" s="596" t="s">
        <v>1159</v>
      </c>
      <c r="C73" s="600">
        <v>12970</v>
      </c>
      <c r="D73" s="601">
        <v>12922</v>
      </c>
      <c r="E73" s="601">
        <v>27</v>
      </c>
      <c r="F73" s="601">
        <v>22</v>
      </c>
    </row>
    <row r="74" spans="2:6">
      <c r="B74" s="596" t="s">
        <v>249</v>
      </c>
      <c r="C74" s="600">
        <v>3308</v>
      </c>
      <c r="D74" s="601">
        <v>2917</v>
      </c>
      <c r="E74" s="601">
        <v>217</v>
      </c>
      <c r="F74" s="601">
        <v>174</v>
      </c>
    </row>
    <row r="75" spans="2:6">
      <c r="B75" s="596" t="s">
        <v>74</v>
      </c>
      <c r="C75" s="600">
        <v>1654</v>
      </c>
      <c r="D75" s="601">
        <v>1609</v>
      </c>
      <c r="E75" s="694">
        <v>23</v>
      </c>
      <c r="F75" s="601">
        <v>22</v>
      </c>
    </row>
    <row r="76" spans="2:6">
      <c r="B76" s="596" t="s">
        <v>1160</v>
      </c>
      <c r="C76" s="600">
        <v>383</v>
      </c>
      <c r="D76" s="601">
        <v>334</v>
      </c>
      <c r="E76" s="601">
        <v>40</v>
      </c>
      <c r="F76" s="601">
        <v>9</v>
      </c>
    </row>
    <row r="77" spans="2:6">
      <c r="B77" s="596" t="s">
        <v>334</v>
      </c>
      <c r="C77" s="600">
        <v>676</v>
      </c>
      <c r="D77" s="601">
        <v>665</v>
      </c>
      <c r="E77" s="695">
        <v>5</v>
      </c>
      <c r="F77" s="601">
        <v>63</v>
      </c>
    </row>
    <row r="78" spans="2:6">
      <c r="B78" s="596"/>
      <c r="C78" s="693"/>
      <c r="D78" s="601"/>
      <c r="E78" s="601"/>
      <c r="F78" s="601"/>
    </row>
    <row r="79" spans="2:6">
      <c r="B79" s="692" t="s">
        <v>1161</v>
      </c>
      <c r="C79" s="693">
        <v>5540</v>
      </c>
      <c r="D79" s="694">
        <v>5182</v>
      </c>
      <c r="E79" s="694">
        <v>281</v>
      </c>
      <c r="F79" s="694">
        <v>78</v>
      </c>
    </row>
    <row r="80" spans="2:6">
      <c r="B80" s="596" t="s">
        <v>1162</v>
      </c>
      <c r="C80" s="600">
        <v>105</v>
      </c>
      <c r="D80" s="601">
        <v>47</v>
      </c>
      <c r="E80" s="601">
        <v>44</v>
      </c>
      <c r="F80" s="601">
        <v>14</v>
      </c>
    </row>
    <row r="81" spans="2:7">
      <c r="B81" s="596" t="s">
        <v>73</v>
      </c>
      <c r="C81" s="600">
        <v>390</v>
      </c>
      <c r="D81" s="601">
        <v>293</v>
      </c>
      <c r="E81" s="601">
        <v>79</v>
      </c>
      <c r="F81" s="601">
        <v>18</v>
      </c>
    </row>
    <row r="82" spans="2:7">
      <c r="B82" s="596" t="s">
        <v>74</v>
      </c>
      <c r="C82" s="600">
        <v>116</v>
      </c>
      <c r="D82" s="601">
        <v>113</v>
      </c>
      <c r="E82" s="601">
        <v>2</v>
      </c>
      <c r="F82" s="695">
        <v>0.1</v>
      </c>
    </row>
    <row r="83" spans="2:7">
      <c r="B83" s="596" t="s">
        <v>1160</v>
      </c>
      <c r="C83" s="600">
        <v>34</v>
      </c>
      <c r="D83" s="601">
        <v>26</v>
      </c>
      <c r="E83" s="601">
        <v>8</v>
      </c>
      <c r="F83" s="695">
        <v>0.1</v>
      </c>
    </row>
    <row r="84" spans="2:7">
      <c r="B84" s="596" t="s">
        <v>334</v>
      </c>
      <c r="C84" s="600">
        <v>334</v>
      </c>
      <c r="D84" s="601">
        <v>331</v>
      </c>
      <c r="E84" s="601">
        <v>1.8</v>
      </c>
      <c r="F84" s="601">
        <v>1.6</v>
      </c>
    </row>
    <row r="85" spans="2:7">
      <c r="B85" s="596" t="s">
        <v>1163</v>
      </c>
      <c r="C85" s="600">
        <v>4166</v>
      </c>
      <c r="D85" s="601">
        <v>4159</v>
      </c>
      <c r="E85" s="601">
        <v>5</v>
      </c>
      <c r="F85" s="601">
        <v>2</v>
      </c>
    </row>
    <row r="86" spans="2:7">
      <c r="B86" s="596" t="s">
        <v>1164</v>
      </c>
      <c r="C86" s="600">
        <v>375</v>
      </c>
      <c r="D86" s="601">
        <v>192</v>
      </c>
      <c r="E86" s="601">
        <v>141</v>
      </c>
      <c r="F86" s="601">
        <v>41</v>
      </c>
    </row>
    <row r="87" spans="2:7">
      <c r="B87" s="596" t="s">
        <v>129</v>
      </c>
      <c r="C87" s="600">
        <v>21</v>
      </c>
      <c r="D87" s="601">
        <v>20</v>
      </c>
      <c r="E87" s="601">
        <v>0.2</v>
      </c>
      <c r="F87" s="601">
        <v>0.7</v>
      </c>
    </row>
    <row r="88" spans="2:7">
      <c r="B88" s="193" t="s">
        <v>1165</v>
      </c>
      <c r="C88" s="114"/>
      <c r="D88" s="696"/>
      <c r="E88" s="114"/>
      <c r="F88" s="114"/>
    </row>
    <row r="89" spans="2:7">
      <c r="B89" s="114"/>
      <c r="C89" s="114"/>
      <c r="D89" s="696"/>
      <c r="E89" s="114"/>
      <c r="F89" s="114"/>
    </row>
    <row r="92" spans="2:7" ht="15.6">
      <c r="B92" s="86" t="s">
        <v>1852</v>
      </c>
    </row>
    <row r="93" spans="2:7">
      <c r="B93" s="290"/>
      <c r="G93" s="290"/>
    </row>
    <row r="94" spans="2:7">
      <c r="B94" s="290" t="s">
        <v>1853</v>
      </c>
      <c r="C94" s="548"/>
      <c r="D94" s="548"/>
      <c r="E94" s="548"/>
      <c r="G94" s="290"/>
    </row>
    <row r="95" spans="2:7">
      <c r="B95" s="290" t="s">
        <v>1729</v>
      </c>
      <c r="C95" s="548"/>
      <c r="D95" s="548"/>
      <c r="E95" s="548"/>
      <c r="G95" s="290"/>
    </row>
    <row r="96" spans="2:7" ht="15.6">
      <c r="B96" s="86"/>
    </row>
    <row r="97" spans="2:9">
      <c r="B97" s="697" t="s">
        <v>850</v>
      </c>
      <c r="C97" s="1569" t="s">
        <v>817</v>
      </c>
      <c r="D97" s="1569"/>
      <c r="G97" s="81"/>
      <c r="H97" s="1568"/>
      <c r="I97" s="1568"/>
    </row>
    <row r="98" spans="2:9">
      <c r="B98" s="697" t="s">
        <v>1166</v>
      </c>
      <c r="C98" s="698" t="s">
        <v>722</v>
      </c>
      <c r="D98" s="698" t="s">
        <v>818</v>
      </c>
      <c r="G98" s="81"/>
      <c r="H98" s="944"/>
      <c r="I98" s="944"/>
    </row>
    <row r="99" spans="2:9">
      <c r="B99" s="697"/>
      <c r="C99" s="698"/>
      <c r="D99" s="698"/>
      <c r="G99" s="81"/>
      <c r="H99" s="944"/>
      <c r="I99" s="944"/>
    </row>
    <row r="100" spans="2:9">
      <c r="B100" s="699" t="s">
        <v>52</v>
      </c>
      <c r="C100" s="700">
        <v>8815</v>
      </c>
      <c r="D100" s="701">
        <v>100</v>
      </c>
      <c r="G100" s="290"/>
      <c r="H100" s="293"/>
      <c r="I100" s="466"/>
    </row>
    <row r="101" spans="2:9">
      <c r="B101" s="370" t="s">
        <v>1720</v>
      </c>
      <c r="C101" s="489">
        <v>2661</v>
      </c>
      <c r="D101" s="702">
        <v>30.187180941576855</v>
      </c>
      <c r="G101" s="704"/>
      <c r="H101" s="293"/>
      <c r="I101" s="705"/>
    </row>
    <row r="102" spans="2:9">
      <c r="B102" s="373" t="s">
        <v>1721</v>
      </c>
      <c r="C102" s="491">
        <v>1181</v>
      </c>
      <c r="D102" s="702">
        <v>13.397617697107203</v>
      </c>
      <c r="G102" s="704"/>
      <c r="H102" s="293"/>
      <c r="I102" s="705"/>
    </row>
    <row r="103" spans="2:9">
      <c r="B103" s="373" t="s">
        <v>1722</v>
      </c>
      <c r="C103" s="491">
        <v>1106</v>
      </c>
      <c r="D103" s="702">
        <v>12.546795235394214</v>
      </c>
      <c r="G103" s="704"/>
      <c r="H103" s="293"/>
      <c r="I103" s="705"/>
    </row>
    <row r="104" spans="2:9">
      <c r="B104" s="373" t="s">
        <v>1723</v>
      </c>
      <c r="C104" s="491">
        <v>633</v>
      </c>
      <c r="D104" s="702">
        <v>7.180941576857629</v>
      </c>
      <c r="G104" s="704"/>
      <c r="H104" s="293"/>
      <c r="I104" s="705"/>
    </row>
    <row r="105" spans="2:9">
      <c r="B105" s="373" t="s">
        <v>1724</v>
      </c>
      <c r="C105" s="491">
        <v>447</v>
      </c>
      <c r="D105" s="702">
        <v>5.0709018718094159</v>
      </c>
      <c r="G105" s="704"/>
      <c r="H105" s="293"/>
      <c r="I105" s="705"/>
    </row>
    <row r="106" spans="2:9">
      <c r="B106" s="373" t="s">
        <v>1725</v>
      </c>
      <c r="C106" s="491">
        <v>402</v>
      </c>
      <c r="D106" s="702">
        <v>4.5604083947816223</v>
      </c>
      <c r="G106" s="704"/>
      <c r="H106" s="293"/>
      <c r="I106" s="705"/>
    </row>
    <row r="107" spans="2:9">
      <c r="B107" s="373" t="s">
        <v>1726</v>
      </c>
      <c r="C107" s="491">
        <v>342</v>
      </c>
      <c r="D107" s="702">
        <v>3.8797504254112307</v>
      </c>
      <c r="G107" s="704"/>
      <c r="H107" s="293"/>
      <c r="I107" s="705"/>
    </row>
    <row r="108" spans="2:9">
      <c r="B108" s="373" t="s">
        <v>1727</v>
      </c>
      <c r="C108" s="491">
        <v>304</v>
      </c>
      <c r="D108" s="702">
        <v>3.4486670448099828</v>
      </c>
      <c r="G108" s="704"/>
      <c r="H108" s="293"/>
      <c r="I108" s="705"/>
    </row>
    <row r="109" spans="2:9">
      <c r="B109" s="373" t="s">
        <v>1728</v>
      </c>
      <c r="C109" s="491">
        <v>1739</v>
      </c>
      <c r="D109" s="702">
        <v>19.727736812251841</v>
      </c>
      <c r="G109" s="704"/>
      <c r="H109" s="293"/>
      <c r="I109" s="705"/>
    </row>
    <row r="110" spans="2:9">
      <c r="B110" s="704"/>
      <c r="C110" s="293"/>
      <c r="D110" s="705"/>
    </row>
    <row r="111" spans="2:9">
      <c r="B111" s="704"/>
      <c r="C111" s="293"/>
      <c r="D111" s="705"/>
    </row>
    <row r="112" spans="2:9">
      <c r="B112" s="704" t="s">
        <v>1854</v>
      </c>
      <c r="C112" s="293"/>
      <c r="D112" s="705"/>
    </row>
    <row r="113" spans="2:4">
      <c r="B113" s="704" t="s">
        <v>1171</v>
      </c>
      <c r="C113" s="293"/>
      <c r="D113" s="705"/>
    </row>
    <row r="114" spans="2:4">
      <c r="B114" s="704"/>
      <c r="C114" s="293"/>
      <c r="D114" s="705"/>
    </row>
    <row r="115" spans="2:4">
      <c r="B115" s="697" t="s">
        <v>1172</v>
      </c>
      <c r="C115" s="1570" t="s">
        <v>817</v>
      </c>
      <c r="D115" s="1570"/>
    </row>
    <row r="116" spans="2:4">
      <c r="B116" s="697" t="s">
        <v>768</v>
      </c>
      <c r="C116" s="706" t="s">
        <v>722</v>
      </c>
      <c r="D116" s="698" t="s">
        <v>818</v>
      </c>
    </row>
    <row r="117" spans="2:4">
      <c r="B117" s="697"/>
      <c r="C117" s="706"/>
      <c r="D117" s="698"/>
    </row>
    <row r="118" spans="2:4">
      <c r="B118" s="699" t="s">
        <v>52</v>
      </c>
      <c r="C118" s="700">
        <v>15889.65</v>
      </c>
      <c r="D118" s="701">
        <v>100</v>
      </c>
    </row>
    <row r="119" spans="2:4">
      <c r="B119" s="399" t="s">
        <v>1167</v>
      </c>
      <c r="C119" s="489">
        <v>5125.91</v>
      </c>
      <c r="D119" s="702">
        <v>32.25942673375436</v>
      </c>
    </row>
    <row r="120" spans="2:4">
      <c r="B120" s="395" t="s">
        <v>1173</v>
      </c>
      <c r="C120" s="491">
        <v>3810.31</v>
      </c>
      <c r="D120" s="703">
        <v>23.979823344126522</v>
      </c>
    </row>
    <row r="121" spans="2:4">
      <c r="B121" s="395" t="s">
        <v>1174</v>
      </c>
      <c r="C121" s="491">
        <v>1711.53</v>
      </c>
      <c r="D121" s="703">
        <v>10.771351162549207</v>
      </c>
    </row>
    <row r="122" spans="2:4">
      <c r="B122" s="395" t="s">
        <v>1175</v>
      </c>
      <c r="C122" s="491">
        <v>1019.97</v>
      </c>
      <c r="D122" s="703">
        <v>6.4190841207956124</v>
      </c>
    </row>
    <row r="123" spans="2:4">
      <c r="B123" s="395" t="s">
        <v>1176</v>
      </c>
      <c r="C123" s="491">
        <v>826.24</v>
      </c>
      <c r="D123" s="703">
        <v>5.199862803774784</v>
      </c>
    </row>
    <row r="124" spans="2:4">
      <c r="B124" s="395" t="s">
        <v>1177</v>
      </c>
      <c r="C124" s="491">
        <v>3395.6900000000005</v>
      </c>
      <c r="D124" s="703">
        <v>21.370451834999514</v>
      </c>
    </row>
    <row r="125" spans="2:4">
      <c r="B125" s="704"/>
      <c r="C125" s="293"/>
      <c r="D125" s="705"/>
    </row>
    <row r="126" spans="2:4">
      <c r="B126" s="290"/>
      <c r="C126" s="293"/>
      <c r="D126" s="466"/>
    </row>
    <row r="127" spans="2:4">
      <c r="B127" s="290" t="s">
        <v>1855</v>
      </c>
      <c r="C127" s="293"/>
      <c r="D127" s="466"/>
    </row>
    <row r="128" spans="2:4">
      <c r="B128" s="290" t="s">
        <v>1178</v>
      </c>
      <c r="C128" s="293"/>
      <c r="D128" s="466"/>
    </row>
    <row r="129" spans="2:9">
      <c r="B129" s="7"/>
      <c r="C129" s="707"/>
      <c r="D129" s="708"/>
    </row>
    <row r="130" spans="2:9">
      <c r="B130" s="697" t="s">
        <v>74</v>
      </c>
      <c r="C130" s="1570" t="s">
        <v>817</v>
      </c>
      <c r="D130" s="1570"/>
      <c r="G130" s="81"/>
      <c r="H130" s="1567"/>
      <c r="I130" s="1567"/>
    </row>
    <row r="131" spans="2:9">
      <c r="B131" s="709"/>
      <c r="C131" s="706" t="s">
        <v>722</v>
      </c>
      <c r="D131" s="698" t="s">
        <v>818</v>
      </c>
      <c r="G131" s="643"/>
      <c r="H131" s="1021"/>
      <c r="I131" s="944"/>
    </row>
    <row r="132" spans="2:9">
      <c r="B132" s="709"/>
      <c r="C132" s="706"/>
      <c r="D132" s="698"/>
      <c r="G132" s="643"/>
      <c r="H132" s="1021"/>
      <c r="I132" s="944"/>
    </row>
    <row r="133" spans="2:9">
      <c r="B133" s="699" t="s">
        <v>52</v>
      </c>
      <c r="C133" s="700">
        <v>3595.85</v>
      </c>
      <c r="D133" s="701">
        <v>100</v>
      </c>
      <c r="G133" s="290"/>
      <c r="H133" s="293"/>
      <c r="I133" s="466"/>
    </row>
    <row r="134" spans="2:9">
      <c r="B134" s="399" t="s">
        <v>1169</v>
      </c>
      <c r="C134" s="489">
        <v>1117.51</v>
      </c>
      <c r="D134" s="702">
        <v>31.077770207322331</v>
      </c>
      <c r="G134" s="290"/>
      <c r="H134" s="293"/>
      <c r="I134" s="705"/>
    </row>
    <row r="135" spans="2:9">
      <c r="B135" s="395" t="s">
        <v>1175</v>
      </c>
      <c r="C135" s="491">
        <v>996.33</v>
      </c>
      <c r="D135" s="703">
        <v>27.707774239748602</v>
      </c>
      <c r="G135" s="290"/>
      <c r="H135" s="293"/>
      <c r="I135" s="705"/>
    </row>
    <row r="136" spans="2:9">
      <c r="B136" s="395" t="s">
        <v>1179</v>
      </c>
      <c r="C136" s="491">
        <v>286.58999999999997</v>
      </c>
      <c r="D136" s="703">
        <v>7.9700209964264355</v>
      </c>
      <c r="G136" s="290"/>
      <c r="H136" s="293"/>
      <c r="I136" s="705"/>
    </row>
    <row r="137" spans="2:9">
      <c r="B137" s="395" t="s">
        <v>1168</v>
      </c>
      <c r="C137" s="491">
        <v>185.16</v>
      </c>
      <c r="D137" s="703">
        <v>5.1492692965501901</v>
      </c>
      <c r="G137" s="290"/>
      <c r="H137" s="293"/>
      <c r="I137" s="705"/>
    </row>
    <row r="138" spans="2:9">
      <c r="B138" s="395" t="s">
        <v>1180</v>
      </c>
      <c r="C138" s="491">
        <v>194.68</v>
      </c>
      <c r="D138" s="703">
        <v>5.4140189384985469</v>
      </c>
      <c r="G138" s="290"/>
      <c r="H138" s="293"/>
      <c r="I138" s="705"/>
    </row>
    <row r="139" spans="2:9">
      <c r="B139" s="395" t="s">
        <v>1170</v>
      </c>
      <c r="C139" s="491">
        <v>815.57999999999993</v>
      </c>
      <c r="D139" s="703">
        <v>22.681146321453895</v>
      </c>
      <c r="G139" s="290"/>
      <c r="H139" s="293"/>
      <c r="I139" s="705"/>
    </row>
    <row r="141" spans="2:9">
      <c r="B141" s="87" t="s">
        <v>1730</v>
      </c>
      <c r="G141" s="87"/>
    </row>
    <row r="144" spans="2:9" ht="17.399999999999999">
      <c r="B144" s="286" t="s">
        <v>1181</v>
      </c>
    </row>
    <row r="146" spans="2:7">
      <c r="B146" s="413" t="s">
        <v>2189</v>
      </c>
      <c r="C146" s="414"/>
      <c r="D146" s="414"/>
      <c r="E146" s="414"/>
      <c r="F146" s="414"/>
      <c r="G146" s="415"/>
    </row>
    <row r="147" spans="2:7" ht="45.6">
      <c r="B147" s="416" t="s">
        <v>780</v>
      </c>
      <c r="C147" s="416"/>
      <c r="D147" s="439">
        <v>795787.18700000027</v>
      </c>
      <c r="E147" s="418" t="s">
        <v>781</v>
      </c>
      <c r="F147" s="440">
        <v>631945.74899999995</v>
      </c>
      <c r="G147" s="418" t="s">
        <v>2213</v>
      </c>
    </row>
    <row r="148" spans="2:7" ht="22.8">
      <c r="B148" s="419"/>
      <c r="C148" s="419"/>
      <c r="D148" s="438"/>
      <c r="E148" s="418" t="s">
        <v>918</v>
      </c>
      <c r="F148" s="440">
        <v>105362.85500000001</v>
      </c>
      <c r="G148" s="418" t="s">
        <v>2214</v>
      </c>
    </row>
    <row r="149" spans="2:7" ht="34.200000000000003">
      <c r="B149" s="508" t="s">
        <v>783</v>
      </c>
      <c r="C149" s="508"/>
      <c r="D149" s="439">
        <v>165094.07199999993</v>
      </c>
      <c r="E149" s="418" t="s">
        <v>784</v>
      </c>
      <c r="F149" s="440">
        <v>141555.69400000002</v>
      </c>
      <c r="G149" s="418" t="s">
        <v>2215</v>
      </c>
    </row>
    <row r="150" spans="2:7" ht="34.200000000000003">
      <c r="B150" s="422"/>
      <c r="C150" s="422"/>
      <c r="D150" s="440"/>
      <c r="E150" s="418" t="s">
        <v>785</v>
      </c>
      <c r="F150" s="440">
        <v>23538.378000000015</v>
      </c>
      <c r="G150" s="418" t="s">
        <v>2216</v>
      </c>
    </row>
    <row r="151" spans="2:7" ht="34.200000000000003">
      <c r="B151" s="508" t="s">
        <v>1633</v>
      </c>
      <c r="C151" s="508"/>
      <c r="D151" s="439">
        <v>137349.86000000007</v>
      </c>
      <c r="E151" s="418" t="s">
        <v>1634</v>
      </c>
      <c r="F151" s="440">
        <v>111253.94699999994</v>
      </c>
      <c r="G151" s="418" t="s">
        <v>2217</v>
      </c>
    </row>
    <row r="152" spans="2:7">
      <c r="B152" s="422"/>
      <c r="C152" s="422"/>
      <c r="D152" s="440"/>
      <c r="E152" s="418" t="s">
        <v>1635</v>
      </c>
      <c r="F152" s="440">
        <v>26095.913</v>
      </c>
      <c r="G152" s="418" t="s">
        <v>2218</v>
      </c>
    </row>
    <row r="153" spans="2:7" ht="34.200000000000003">
      <c r="B153" s="508" t="s">
        <v>786</v>
      </c>
      <c r="C153" s="508"/>
      <c r="D153" s="439">
        <v>18110.083999999999</v>
      </c>
      <c r="E153" s="418" t="s">
        <v>788</v>
      </c>
      <c r="F153" s="440">
        <v>10192.197999999997</v>
      </c>
      <c r="G153" s="418" t="s">
        <v>2219</v>
      </c>
    </row>
    <row r="154" spans="2:7" ht="34.200000000000003">
      <c r="B154" s="416"/>
      <c r="C154" s="416"/>
      <c r="D154" s="439"/>
      <c r="E154" s="423" t="s">
        <v>787</v>
      </c>
      <c r="F154" s="439">
        <v>7917.8860000000022</v>
      </c>
      <c r="G154" s="424" t="s">
        <v>2220</v>
      </c>
    </row>
    <row r="155" spans="2:7">
      <c r="B155" s="425" t="s">
        <v>3</v>
      </c>
      <c r="C155" s="426"/>
      <c r="D155" s="509">
        <v>1116341.2030000002</v>
      </c>
      <c r="E155" s="428"/>
      <c r="F155" s="443"/>
      <c r="G155" s="428"/>
    </row>
    <row r="156" spans="2:7" ht="15.6">
      <c r="B156" s="429"/>
      <c r="C156" s="429"/>
      <c r="D156" s="430"/>
      <c r="E156" s="431"/>
      <c r="F156" s="432"/>
      <c r="G156" s="433"/>
    </row>
    <row r="157" spans="2:7">
      <c r="B157" s="413" t="s">
        <v>2190</v>
      </c>
      <c r="C157" s="414"/>
      <c r="D157" s="434"/>
      <c r="E157" s="414"/>
      <c r="F157" s="434"/>
      <c r="G157" s="435"/>
    </row>
    <row r="158" spans="2:7" ht="45.6">
      <c r="B158" s="416" t="s">
        <v>780</v>
      </c>
      <c r="C158" s="416"/>
      <c r="D158" s="436">
        <v>459603.68199999939</v>
      </c>
      <c r="E158" s="418" t="s">
        <v>781</v>
      </c>
      <c r="F158" s="437">
        <v>344481.82900000003</v>
      </c>
      <c r="G158" s="418" t="s">
        <v>2221</v>
      </c>
    </row>
    <row r="159" spans="2:7" ht="22.8">
      <c r="B159" s="419"/>
      <c r="C159" s="419"/>
      <c r="D159" s="438"/>
      <c r="E159" s="418" t="s">
        <v>782</v>
      </c>
      <c r="F159" s="437">
        <v>70457.285999999978</v>
      </c>
      <c r="G159" s="418" t="s">
        <v>2222</v>
      </c>
    </row>
    <row r="160" spans="2:7" ht="34.200000000000003">
      <c r="B160" s="416" t="s">
        <v>1633</v>
      </c>
      <c r="C160" s="416"/>
      <c r="D160" s="439">
        <v>240607.652</v>
      </c>
      <c r="E160" s="418" t="s">
        <v>1634</v>
      </c>
      <c r="F160" s="440">
        <v>228452.18299999996</v>
      </c>
      <c r="G160" s="418" t="s">
        <v>2223</v>
      </c>
    </row>
    <row r="161" spans="2:7">
      <c r="B161" s="422"/>
      <c r="C161" s="422"/>
      <c r="D161" s="440"/>
      <c r="E161" s="418" t="s">
        <v>1635</v>
      </c>
      <c r="F161" s="440">
        <v>12155.469000000005</v>
      </c>
      <c r="G161" s="418" t="s">
        <v>2224</v>
      </c>
    </row>
    <row r="162" spans="2:7" ht="34.200000000000003">
      <c r="B162" s="416" t="s">
        <v>786</v>
      </c>
      <c r="C162" s="416"/>
      <c r="D162" s="439">
        <v>75738.968999999997</v>
      </c>
      <c r="E162" s="418" t="s">
        <v>787</v>
      </c>
      <c r="F162" s="440">
        <v>43244.252</v>
      </c>
      <c r="G162" s="418" t="s">
        <v>2225</v>
      </c>
    </row>
    <row r="163" spans="2:7" ht="34.200000000000003">
      <c r="B163" s="422"/>
      <c r="C163" s="422"/>
      <c r="D163" s="440"/>
      <c r="E163" s="418" t="s">
        <v>788</v>
      </c>
      <c r="F163" s="440">
        <v>32494.71699999999</v>
      </c>
      <c r="G163" s="418" t="s">
        <v>2226</v>
      </c>
    </row>
    <row r="164" spans="2:7" ht="34.200000000000003">
      <c r="B164" s="416" t="s">
        <v>783</v>
      </c>
      <c r="C164" s="416"/>
      <c r="D164" s="439">
        <v>25342.402999999998</v>
      </c>
      <c r="E164" s="418" t="s">
        <v>784</v>
      </c>
      <c r="F164" s="440">
        <v>21427.650999999994</v>
      </c>
      <c r="G164" s="418" t="s">
        <v>2227</v>
      </c>
    </row>
    <row r="165" spans="2:7" ht="34.200000000000003">
      <c r="B165" s="416"/>
      <c r="C165" s="416"/>
      <c r="D165" s="439"/>
      <c r="E165" s="423" t="s">
        <v>785</v>
      </c>
      <c r="F165" s="439">
        <v>3914.751999999999</v>
      </c>
      <c r="G165" s="423" t="s">
        <v>2228</v>
      </c>
    </row>
    <row r="166" spans="2:7">
      <c r="B166" s="425" t="s">
        <v>3</v>
      </c>
      <c r="C166" s="426"/>
      <c r="D166" s="509">
        <v>801292.70599999942</v>
      </c>
      <c r="E166" s="442"/>
      <c r="F166" s="443"/>
      <c r="G166" s="428"/>
    </row>
    <row r="168" spans="2:7">
      <c r="B168" s="442" t="s">
        <v>2191</v>
      </c>
      <c r="C168" s="444"/>
      <c r="D168" s="415"/>
      <c r="E168" s="415"/>
      <c r="F168" s="415"/>
      <c r="G168" s="415"/>
    </row>
    <row r="169" spans="2:7">
      <c r="B169" s="445" t="s">
        <v>13</v>
      </c>
      <c r="C169" s="510">
        <v>582381.41500000004</v>
      </c>
      <c r="D169" s="448" t="s">
        <v>2193</v>
      </c>
      <c r="E169" s="448"/>
      <c r="F169" s="448"/>
      <c r="G169" s="448"/>
    </row>
    <row r="170" spans="2:7">
      <c r="B170" s="449" t="s">
        <v>17</v>
      </c>
      <c r="C170" s="510">
        <v>40718.03100000001</v>
      </c>
      <c r="D170" s="451" t="s">
        <v>2194</v>
      </c>
      <c r="E170" s="451"/>
      <c r="F170" s="451"/>
      <c r="G170" s="451"/>
    </row>
    <row r="171" spans="2:7">
      <c r="B171" s="449" t="s">
        <v>9</v>
      </c>
      <c r="C171" s="510">
        <v>34963.453000000001</v>
      </c>
      <c r="D171" s="451" t="s">
        <v>2195</v>
      </c>
      <c r="E171" s="451"/>
      <c r="F171" s="451"/>
      <c r="G171" s="451"/>
    </row>
    <row r="172" spans="2:7">
      <c r="B172" s="449" t="s">
        <v>10</v>
      </c>
      <c r="C172" s="510">
        <v>34297.411</v>
      </c>
      <c r="D172" s="451" t="s">
        <v>2196</v>
      </c>
      <c r="E172" s="451"/>
      <c r="F172" s="451"/>
      <c r="G172" s="451"/>
    </row>
    <row r="173" spans="2:7">
      <c r="B173" s="449" t="s">
        <v>6</v>
      </c>
      <c r="C173" s="510">
        <v>22665.02299999999</v>
      </c>
      <c r="D173" s="451" t="s">
        <v>2197</v>
      </c>
      <c r="E173" s="451"/>
      <c r="F173" s="451"/>
      <c r="G173" s="451"/>
    </row>
    <row r="174" spans="2:7">
      <c r="B174" s="449" t="s">
        <v>1182</v>
      </c>
      <c r="C174" s="510">
        <v>17746.616000000002</v>
      </c>
      <c r="D174" s="451" t="s">
        <v>2198</v>
      </c>
      <c r="E174" s="451"/>
      <c r="F174" s="451"/>
      <c r="G174" s="451"/>
    </row>
    <row r="175" spans="2:7">
      <c r="B175" s="449" t="s">
        <v>15</v>
      </c>
      <c r="C175" s="510">
        <v>17136.511000000002</v>
      </c>
      <c r="D175" s="451" t="s">
        <v>2199</v>
      </c>
      <c r="E175" s="451"/>
      <c r="F175" s="451"/>
      <c r="G175" s="451"/>
    </row>
    <row r="176" spans="2:7">
      <c r="B176" s="449" t="s">
        <v>31</v>
      </c>
      <c r="C176" s="510">
        <v>5399.74</v>
      </c>
      <c r="D176" s="451" t="s">
        <v>2200</v>
      </c>
      <c r="E176" s="451"/>
      <c r="F176" s="451"/>
      <c r="G176" s="451"/>
    </row>
    <row r="177" spans="2:7">
      <c r="B177" s="449" t="s">
        <v>7</v>
      </c>
      <c r="C177" s="510">
        <v>4065.556</v>
      </c>
      <c r="D177" s="451" t="s">
        <v>2201</v>
      </c>
      <c r="E177" s="451"/>
      <c r="F177" s="451"/>
      <c r="G177" s="451"/>
    </row>
    <row r="178" spans="2:7">
      <c r="B178" s="449" t="s">
        <v>27</v>
      </c>
      <c r="C178" s="510">
        <v>4012.1339999999996</v>
      </c>
      <c r="D178" s="451" t="s">
        <v>2202</v>
      </c>
      <c r="E178" s="451"/>
      <c r="F178" s="451"/>
      <c r="G178" s="451"/>
    </row>
    <row r="179" spans="2:7">
      <c r="B179" s="290" t="s">
        <v>1623</v>
      </c>
      <c r="C179" s="490">
        <v>37906.815999999759</v>
      </c>
      <c r="D179" s="454"/>
      <c r="E179" s="454"/>
      <c r="F179" s="454"/>
      <c r="G179" s="454"/>
    </row>
    <row r="180" spans="2:7">
      <c r="B180" s="425" t="s">
        <v>3</v>
      </c>
      <c r="C180" s="441">
        <v>801292.70599999977</v>
      </c>
      <c r="D180" s="461" t="s">
        <v>1183</v>
      </c>
      <c r="E180" s="442"/>
      <c r="F180" s="428"/>
      <c r="G180" s="428"/>
    </row>
    <row r="181" spans="2:7">
      <c r="C181" s="456"/>
    </row>
    <row r="182" spans="2:7">
      <c r="B182" s="442" t="s">
        <v>2192</v>
      </c>
      <c r="C182" s="457"/>
      <c r="D182" s="415"/>
      <c r="E182" s="415"/>
      <c r="F182" s="415"/>
      <c r="G182" s="415"/>
    </row>
    <row r="183" spans="2:7">
      <c r="B183" s="445" t="s">
        <v>9</v>
      </c>
      <c r="C183" s="510">
        <v>228345.86400000006</v>
      </c>
      <c r="D183" s="458" t="s">
        <v>2203</v>
      </c>
      <c r="E183" s="448"/>
      <c r="F183" s="448"/>
      <c r="G183" s="448"/>
    </row>
    <row r="184" spans="2:7">
      <c r="B184" s="449" t="s">
        <v>13</v>
      </c>
      <c r="C184" s="510">
        <v>213563.80100000004</v>
      </c>
      <c r="D184" s="459" t="s">
        <v>2204</v>
      </c>
      <c r="E184" s="451"/>
      <c r="F184" s="451"/>
      <c r="G184" s="451"/>
    </row>
    <row r="185" spans="2:7">
      <c r="B185" s="449" t="s">
        <v>10</v>
      </c>
      <c r="C185" s="510">
        <v>167351.37199999997</v>
      </c>
      <c r="D185" s="459" t="s">
        <v>2205</v>
      </c>
      <c r="E185" s="451"/>
      <c r="F185" s="451"/>
      <c r="G185" s="451"/>
    </row>
    <row r="186" spans="2:7">
      <c r="B186" s="449" t="s">
        <v>19</v>
      </c>
      <c r="C186" s="510">
        <v>54483.469999999994</v>
      </c>
      <c r="D186" s="459" t="s">
        <v>2206</v>
      </c>
      <c r="E186" s="451"/>
      <c r="F186" s="451"/>
      <c r="G186" s="451"/>
    </row>
    <row r="187" spans="2:7">
      <c r="B187" s="449" t="s">
        <v>20</v>
      </c>
      <c r="C187" s="510">
        <v>39133.149000000005</v>
      </c>
      <c r="D187" s="459" t="s">
        <v>2207</v>
      </c>
      <c r="E187" s="451"/>
      <c r="F187" s="451"/>
      <c r="G187" s="451"/>
    </row>
    <row r="188" spans="2:7">
      <c r="B188" s="449" t="s">
        <v>6</v>
      </c>
      <c r="C188" s="510">
        <v>34737.188999999991</v>
      </c>
      <c r="D188" s="459" t="s">
        <v>2208</v>
      </c>
      <c r="E188" s="451"/>
      <c r="F188" s="451"/>
      <c r="G188" s="451"/>
    </row>
    <row r="189" spans="2:7">
      <c r="B189" s="449" t="s">
        <v>5</v>
      </c>
      <c r="C189" s="510">
        <v>34332.276999999995</v>
      </c>
      <c r="D189" s="459" t="s">
        <v>2209</v>
      </c>
      <c r="E189" s="451"/>
      <c r="F189" s="451"/>
      <c r="G189" s="451"/>
    </row>
    <row r="190" spans="2:7">
      <c r="B190" s="449" t="s">
        <v>17</v>
      </c>
      <c r="C190" s="510">
        <v>34307.518000000004</v>
      </c>
      <c r="D190" s="459" t="s">
        <v>2210</v>
      </c>
      <c r="E190" s="451"/>
      <c r="F190" s="451"/>
      <c r="G190" s="451"/>
    </row>
    <row r="191" spans="2:7">
      <c r="B191" s="449" t="s">
        <v>746</v>
      </c>
      <c r="C191" s="510">
        <v>25315.458000000002</v>
      </c>
      <c r="D191" s="459" t="s">
        <v>2211</v>
      </c>
      <c r="E191" s="451"/>
      <c r="F191" s="451"/>
      <c r="G191" s="451"/>
    </row>
    <row r="192" spans="2:7">
      <c r="B192" s="449" t="s">
        <v>1445</v>
      </c>
      <c r="C192" s="510">
        <v>19069.144</v>
      </c>
      <c r="D192" s="459" t="s">
        <v>2212</v>
      </c>
      <c r="E192" s="451"/>
      <c r="F192" s="451"/>
      <c r="G192" s="451"/>
    </row>
    <row r="193" spans="2:7">
      <c r="B193" s="290" t="s">
        <v>1623</v>
      </c>
      <c r="C193" s="490">
        <v>265701.96100000001</v>
      </c>
      <c r="D193" s="454"/>
      <c r="E193" s="454"/>
      <c r="F193" s="454"/>
      <c r="G193" s="454"/>
    </row>
    <row r="194" spans="2:7">
      <c r="B194" s="425" t="s">
        <v>3</v>
      </c>
      <c r="C194" s="441">
        <v>1116341.203</v>
      </c>
      <c r="D194" s="461" t="s">
        <v>1184</v>
      </c>
      <c r="E194" s="442"/>
      <c r="F194" s="428"/>
      <c r="G194" s="428"/>
    </row>
    <row r="195" spans="2:7">
      <c r="B195" s="87" t="s">
        <v>2391</v>
      </c>
    </row>
  </sheetData>
  <mergeCells count="5">
    <mergeCell ref="H130:I130"/>
    <mergeCell ref="H97:I97"/>
    <mergeCell ref="C97:D97"/>
    <mergeCell ref="C115:D115"/>
    <mergeCell ref="C130:D130"/>
  </mergeCells>
  <hyperlinks>
    <hyperlink ref="B21" r:id="rId1" display="Source: Worldbank, 2017, World Development Indicators " xr:uid="{00000000-0004-0000-1700-000000000000}"/>
    <hyperlink ref="B42" r:id="rId2" xr:uid="{00000000-0004-0000-1700-000001000000}"/>
    <hyperlink ref="B58" r:id="rId3" display="http://dati-censimentoagricoltura.istat.it/" xr:uid="{00000000-0004-0000-1700-000002000000}"/>
    <hyperlink ref="B88" r:id="rId4" xr:uid="{00000000-0004-0000-1700-000003000000}"/>
    <hyperlink ref="B141" r:id="rId5" display="http://dati-censimentoagricoltura.istat.it/" xr:uid="{00000000-0004-0000-1700-000004000000}"/>
  </hyperlinks>
  <pageMargins left="0.7" right="0.7" top="0.78740157499999996" bottom="0.78740157499999996" header="0.3" footer="0.3"/>
  <pageSetup paperSize="9" orientation="portrait" r:id="rId6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B050"/>
  </sheetPr>
  <dimension ref="A2:T308"/>
  <sheetViews>
    <sheetView topLeftCell="A18" zoomScaleNormal="100" workbookViewId="0">
      <selection activeCell="C94" sqref="C94"/>
    </sheetView>
  </sheetViews>
  <sheetFormatPr defaultColWidth="10.88671875" defaultRowHeight="14.4"/>
  <cols>
    <col min="2" max="2" width="26.33203125" customWidth="1"/>
  </cols>
  <sheetData>
    <row r="2" spans="2:9" ht="15.6">
      <c r="B2" s="83" t="s">
        <v>1235</v>
      </c>
    </row>
    <row r="3" spans="2:9" ht="15.6">
      <c r="B3" s="83"/>
    </row>
    <row r="4" spans="2:9" ht="15.6">
      <c r="B4" s="83"/>
    </row>
    <row r="5" spans="2:9" ht="15.6">
      <c r="B5" s="83" t="s">
        <v>2417</v>
      </c>
    </row>
    <row r="7" spans="2:9">
      <c r="B7" s="13" t="s">
        <v>794</v>
      </c>
      <c r="C7" s="239">
        <v>124</v>
      </c>
      <c r="D7" s="462" t="s">
        <v>531</v>
      </c>
      <c r="E7" s="247"/>
      <c r="F7" s="247"/>
      <c r="G7" s="247"/>
    </row>
    <row r="8" spans="2:9">
      <c r="B8" s="13" t="s">
        <v>532</v>
      </c>
      <c r="C8" s="247">
        <v>378000</v>
      </c>
      <c r="D8" s="462" t="s">
        <v>533</v>
      </c>
      <c r="E8" s="247"/>
      <c r="F8" s="247"/>
      <c r="G8" s="247"/>
    </row>
    <row r="9" spans="2:9" ht="26.4">
      <c r="B9" s="242" t="s">
        <v>795</v>
      </c>
      <c r="C9" s="243">
        <v>343</v>
      </c>
      <c r="D9" s="463" t="s">
        <v>535</v>
      </c>
      <c r="E9" s="247"/>
      <c r="F9" s="247"/>
      <c r="G9" s="247"/>
    </row>
    <row r="10" spans="2:9">
      <c r="B10" s="245"/>
      <c r="C10" s="246"/>
      <c r="D10" s="462"/>
      <c r="E10" s="246"/>
      <c r="F10" s="246"/>
      <c r="G10" s="246"/>
    </row>
    <row r="11" spans="2:9" ht="15.6">
      <c r="B11" s="13" t="s">
        <v>1236</v>
      </c>
      <c r="C11" s="247">
        <v>4467</v>
      </c>
      <c r="D11" s="462" t="s">
        <v>537</v>
      </c>
      <c r="E11" s="247"/>
      <c r="F11" s="247"/>
      <c r="G11" s="247"/>
    </row>
    <row r="12" spans="2:9">
      <c r="B12" s="245" t="s">
        <v>538</v>
      </c>
      <c r="C12" s="246">
        <v>36030</v>
      </c>
      <c r="D12" s="462" t="s">
        <v>539</v>
      </c>
      <c r="E12" s="246"/>
      <c r="F12" s="246"/>
      <c r="G12" s="246"/>
      <c r="I12" s="246"/>
    </row>
    <row r="13" spans="2:9">
      <c r="B13" s="13" t="s">
        <v>540</v>
      </c>
      <c r="C13" s="247">
        <v>6833</v>
      </c>
      <c r="D13" s="462" t="s">
        <v>537</v>
      </c>
      <c r="E13" s="247"/>
      <c r="F13" s="247"/>
      <c r="G13" s="247"/>
      <c r="I13" s="246"/>
    </row>
    <row r="14" spans="2:9">
      <c r="B14" s="245" t="s">
        <v>594</v>
      </c>
      <c r="C14" s="246"/>
      <c r="D14" s="462"/>
      <c r="E14" s="246"/>
      <c r="F14" s="246"/>
      <c r="G14" s="246"/>
      <c r="I14" s="246"/>
    </row>
    <row r="15" spans="2:9" ht="26.4">
      <c r="B15" s="245" t="s">
        <v>538</v>
      </c>
      <c r="C15" s="246">
        <v>55120</v>
      </c>
      <c r="D15" s="462" t="s">
        <v>542</v>
      </c>
      <c r="E15" s="246"/>
      <c r="F15" s="246"/>
      <c r="G15" s="246"/>
      <c r="I15" s="246"/>
    </row>
    <row r="16" spans="2:9">
      <c r="B16" s="248"/>
      <c r="C16" s="249"/>
      <c r="D16" s="463"/>
      <c r="E16" s="246"/>
      <c r="F16" s="246"/>
      <c r="G16" s="246"/>
    </row>
    <row r="17" spans="1:14">
      <c r="B17" s="13" t="s">
        <v>543</v>
      </c>
      <c r="C17" s="239">
        <v>0.1</v>
      </c>
      <c r="D17" s="462" t="s">
        <v>544</v>
      </c>
      <c r="E17" s="247"/>
      <c r="F17" s="247"/>
      <c r="G17" s="247"/>
    </row>
    <row r="18" spans="1:14" ht="26.4">
      <c r="B18" s="13" t="s">
        <v>543</v>
      </c>
      <c r="C18" s="239">
        <v>0.5</v>
      </c>
      <c r="D18" s="462" t="s">
        <v>546</v>
      </c>
      <c r="E18" s="247"/>
      <c r="F18" s="247"/>
      <c r="G18" s="247"/>
    </row>
    <row r="19" spans="1:14">
      <c r="B19" s="245"/>
      <c r="C19" s="246"/>
      <c r="D19" s="246"/>
      <c r="E19" s="246"/>
      <c r="F19" s="246"/>
      <c r="G19" s="246"/>
      <c r="H19" s="462"/>
    </row>
    <row r="20" spans="1:14">
      <c r="B20" s="250" t="s">
        <v>595</v>
      </c>
      <c r="C20" s="251"/>
      <c r="D20" s="251"/>
      <c r="E20" s="251"/>
      <c r="F20" s="251"/>
      <c r="G20" s="251"/>
      <c r="H20" s="251"/>
    </row>
    <row r="21" spans="1:14">
      <c r="B21" s="252" t="s">
        <v>2415</v>
      </c>
      <c r="C21" s="253"/>
      <c r="D21" s="253"/>
      <c r="E21" s="253"/>
      <c r="F21" s="253"/>
      <c r="G21" s="253"/>
      <c r="H21" s="82"/>
    </row>
    <row r="24" spans="1:14" ht="15.6">
      <c r="B24" s="83" t="s">
        <v>1237</v>
      </c>
    </row>
    <row r="25" spans="1:14">
      <c r="B25" s="93" t="s">
        <v>1238</v>
      </c>
    </row>
    <row r="27" spans="1:14" ht="25.5" customHeight="1">
      <c r="A27" s="725"/>
      <c r="B27" s="21"/>
      <c r="C27" s="21">
        <v>2022</v>
      </c>
      <c r="D27" s="21">
        <v>2021</v>
      </c>
      <c r="E27" s="21">
        <v>2020</v>
      </c>
      <c r="F27" s="21">
        <v>2019</v>
      </c>
      <c r="G27" s="21">
        <v>2018</v>
      </c>
      <c r="H27" s="21">
        <v>2017</v>
      </c>
      <c r="I27" s="21">
        <v>2016</v>
      </c>
      <c r="J27" s="21">
        <v>2015</v>
      </c>
      <c r="K27" s="21">
        <v>2014</v>
      </c>
      <c r="L27" s="21">
        <v>2013</v>
      </c>
      <c r="M27" s="21">
        <v>2012</v>
      </c>
      <c r="N27" s="978"/>
    </row>
    <row r="28" spans="1:14" ht="21.75" customHeight="1" thickBot="1">
      <c r="B28" s="726" t="s">
        <v>1239</v>
      </c>
      <c r="C28" s="727">
        <v>9002</v>
      </c>
      <c r="D28" s="728">
        <v>8838</v>
      </c>
      <c r="E28" s="728">
        <v>8937</v>
      </c>
      <c r="F28" s="728">
        <v>8894</v>
      </c>
      <c r="G28" s="728">
        <v>9056</v>
      </c>
      <c r="H28" s="726">
        <v>9274</v>
      </c>
      <c r="I28" s="726">
        <v>9202.5</v>
      </c>
      <c r="J28" s="726">
        <v>8797.9</v>
      </c>
      <c r="K28" s="726">
        <v>8363.9</v>
      </c>
      <c r="L28" s="726">
        <v>8467</v>
      </c>
      <c r="M28" s="726">
        <v>8525</v>
      </c>
      <c r="N28" s="737"/>
    </row>
    <row r="29" spans="1:14" ht="21" customHeight="1" thickBot="1">
      <c r="B29" s="726" t="s">
        <v>1102</v>
      </c>
      <c r="C29" s="727">
        <v>349</v>
      </c>
      <c r="D29" s="728">
        <v>331</v>
      </c>
      <c r="E29" s="728">
        <v>308</v>
      </c>
      <c r="F29" s="728">
        <v>326</v>
      </c>
      <c r="G29" s="728">
        <v>333</v>
      </c>
      <c r="H29" s="726">
        <v>344</v>
      </c>
      <c r="I29" s="726">
        <v>352.9</v>
      </c>
      <c r="J29" s="726">
        <v>352.9</v>
      </c>
      <c r="K29" s="726">
        <v>343.7</v>
      </c>
      <c r="L29" s="726">
        <v>349</v>
      </c>
      <c r="M29" s="726">
        <v>345</v>
      </c>
      <c r="N29" s="737"/>
    </row>
    <row r="30" spans="1:14">
      <c r="B30" s="193" t="s">
        <v>2050</v>
      </c>
    </row>
    <row r="32" spans="1:14">
      <c r="B32" s="16"/>
      <c r="C32" s="16"/>
      <c r="D32" s="16"/>
      <c r="E32" s="16"/>
      <c r="F32" s="16"/>
      <c r="G32" s="16"/>
      <c r="H32" s="16"/>
      <c r="I32" s="16"/>
    </row>
    <row r="34" spans="2:18" ht="15.6">
      <c r="B34" s="83" t="s">
        <v>1240</v>
      </c>
    </row>
    <row r="35" spans="2:18">
      <c r="B35" s="93" t="s">
        <v>1241</v>
      </c>
    </row>
    <row r="36" spans="2:18">
      <c r="B36" s="21"/>
      <c r="C36" s="21">
        <v>2024</v>
      </c>
      <c r="D36" s="21">
        <v>2023</v>
      </c>
      <c r="E36" s="21">
        <v>2022</v>
      </c>
      <c r="F36" s="21">
        <v>2021</v>
      </c>
      <c r="G36" s="21">
        <v>2020</v>
      </c>
      <c r="H36" s="21">
        <v>2019</v>
      </c>
      <c r="I36" s="21">
        <v>2018</v>
      </c>
      <c r="J36" s="21">
        <v>2017</v>
      </c>
      <c r="K36" s="21">
        <v>2016</v>
      </c>
      <c r="L36" s="978"/>
      <c r="M36" s="978"/>
      <c r="N36" s="978"/>
      <c r="O36" s="978"/>
      <c r="Q36" s="978"/>
      <c r="R36" s="731"/>
    </row>
    <row r="37" spans="2:18" ht="15" thickBot="1">
      <c r="B37" s="726" t="s">
        <v>1242</v>
      </c>
      <c r="C37" s="729">
        <v>24</v>
      </c>
      <c r="D37" s="730">
        <v>24</v>
      </c>
      <c r="E37" s="730">
        <f>E38/138.03</f>
        <v>25.639353763674563</v>
      </c>
      <c r="F37" s="730">
        <v>26.174588509051091</v>
      </c>
      <c r="G37" s="730">
        <v>27.56693341817321</v>
      </c>
      <c r="H37" s="164">
        <v>27.784607819031226</v>
      </c>
      <c r="I37" s="164">
        <v>26.5</v>
      </c>
      <c r="J37" s="164">
        <v>28.8</v>
      </c>
      <c r="K37" s="164">
        <v>32.049421177470172</v>
      </c>
      <c r="L37" s="1272"/>
      <c r="M37" s="1272"/>
      <c r="N37" s="1272"/>
      <c r="O37" s="1272"/>
      <c r="P37" s="979"/>
      <c r="Q37" s="979"/>
      <c r="R37" s="731"/>
    </row>
    <row r="38" spans="2:18" ht="15" thickBot="1">
      <c r="B38" s="726" t="s">
        <v>1243</v>
      </c>
      <c r="C38" s="727">
        <v>2509</v>
      </c>
      <c r="D38" s="728">
        <v>3642</v>
      </c>
      <c r="E38" s="728">
        <v>3539</v>
      </c>
      <c r="F38" s="728">
        <v>3399.5555555555557</v>
      </c>
      <c r="G38" s="728">
        <v>3359.0308370044054</v>
      </c>
      <c r="H38" s="726">
        <v>3390</v>
      </c>
      <c r="I38" s="726">
        <v>3460</v>
      </c>
      <c r="J38" s="726">
        <v>3651.0729613733906</v>
      </c>
      <c r="K38" s="726">
        <v>3852</v>
      </c>
      <c r="L38" s="737"/>
      <c r="M38" s="737"/>
      <c r="N38" s="737"/>
      <c r="O38" s="737"/>
      <c r="Q38" s="16">
        <v>7272</v>
      </c>
      <c r="R38" s="731"/>
    </row>
    <row r="39" spans="2:18">
      <c r="B39" s="41" t="s">
        <v>2404</v>
      </c>
      <c r="Q39" s="731"/>
    </row>
    <row r="40" spans="2:18">
      <c r="O40" s="134"/>
      <c r="P40" s="134"/>
      <c r="Q40" s="731"/>
    </row>
    <row r="41" spans="2:18" ht="15.6">
      <c r="B41" s="83" t="s">
        <v>1244</v>
      </c>
      <c r="Q41" s="731"/>
    </row>
    <row r="42" spans="2:18">
      <c r="B42" s="93" t="s">
        <v>1241</v>
      </c>
      <c r="M42" s="506"/>
      <c r="N42" s="506"/>
      <c r="O42" s="506"/>
      <c r="Q42" s="731"/>
    </row>
    <row r="43" spans="2:18">
      <c r="B43" s="21"/>
      <c r="C43" s="21">
        <v>2024</v>
      </c>
      <c r="D43" s="21">
        <v>2023</v>
      </c>
      <c r="E43" s="21">
        <v>2022</v>
      </c>
      <c r="F43" s="21">
        <v>2021</v>
      </c>
      <c r="G43" s="21">
        <v>2020</v>
      </c>
      <c r="H43" s="21">
        <v>2019</v>
      </c>
      <c r="I43" s="21">
        <v>2018</v>
      </c>
      <c r="J43" s="21">
        <v>2017</v>
      </c>
      <c r="K43" s="21">
        <v>2016</v>
      </c>
      <c r="N43" s="981"/>
      <c r="O43" s="981"/>
      <c r="P43" s="981"/>
      <c r="Q43" s="16"/>
      <c r="R43" s="731"/>
    </row>
    <row r="44" spans="2:18" ht="15" thickBot="1">
      <c r="B44" s="726" t="s">
        <v>1242</v>
      </c>
      <c r="C44" s="729">
        <v>6.16</v>
      </c>
      <c r="D44" s="1434">
        <v>9.9</v>
      </c>
      <c r="E44" s="730">
        <f>E45/138.03</f>
        <v>11.345359704412084</v>
      </c>
      <c r="F44" s="730">
        <v>11.532012455942239</v>
      </c>
      <c r="G44" s="730">
        <v>11.663072420593675</v>
      </c>
      <c r="H44" s="164">
        <v>10.933530038521432</v>
      </c>
      <c r="I44" s="164">
        <v>10.5</v>
      </c>
      <c r="J44" s="164">
        <v>11.885475366513985</v>
      </c>
      <c r="K44" s="164">
        <v>12.050837257053844</v>
      </c>
      <c r="N44" s="980"/>
      <c r="O44" s="980"/>
      <c r="P44" s="980"/>
      <c r="R44" s="731"/>
    </row>
    <row r="45" spans="2:18" ht="15" thickBot="1">
      <c r="B45" s="726" t="s">
        <v>1243</v>
      </c>
      <c r="C45" s="727">
        <v>1008</v>
      </c>
      <c r="D45" s="1435">
        <v>1500</v>
      </c>
      <c r="E45" s="728">
        <v>1566</v>
      </c>
      <c r="F45" s="728">
        <v>1497.7777777777778</v>
      </c>
      <c r="G45" s="728">
        <v>1421.1453744493392</v>
      </c>
      <c r="H45" s="726">
        <v>1334</v>
      </c>
      <c r="I45" s="726">
        <v>1373</v>
      </c>
      <c r="J45" s="726">
        <v>1506.0085836909871</v>
      </c>
      <c r="K45" s="726">
        <v>1448.5106382978722</v>
      </c>
      <c r="M45" s="737">
        <v>3301</v>
      </c>
      <c r="N45" s="134"/>
      <c r="O45" s="134"/>
      <c r="P45" s="134"/>
      <c r="Q45" s="134">
        <v>2922</v>
      </c>
      <c r="R45" s="731"/>
    </row>
    <row r="46" spans="2:18">
      <c r="B46" s="41" t="s">
        <v>2405</v>
      </c>
      <c r="K46" s="731"/>
    </row>
    <row r="49" spans="2:20" ht="15.6">
      <c r="B49" s="83" t="s">
        <v>106</v>
      </c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</row>
    <row r="50" spans="2:20">
      <c r="B50" s="93" t="s">
        <v>46</v>
      </c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</row>
    <row r="51" spans="2:20">
      <c r="B51" s="21"/>
      <c r="C51" s="1557" t="s">
        <v>46</v>
      </c>
      <c r="D51" s="1557"/>
      <c r="E51" s="1557"/>
      <c r="F51" s="1557"/>
      <c r="G51" s="1557"/>
      <c r="H51" s="1557"/>
      <c r="I51" s="1557"/>
      <c r="J51" s="1557"/>
      <c r="K51" s="1557"/>
      <c r="L51" s="1557"/>
      <c r="M51" s="1557"/>
      <c r="P51" s="279"/>
      <c r="Q51" s="279"/>
      <c r="R51" s="279"/>
    </row>
    <row r="52" spans="2:20">
      <c r="B52" s="21"/>
      <c r="C52" s="85">
        <v>2022</v>
      </c>
      <c r="D52" s="85">
        <v>2021</v>
      </c>
      <c r="E52" s="141">
        <v>2020</v>
      </c>
      <c r="F52" s="141">
        <v>2019</v>
      </c>
      <c r="G52" s="141">
        <v>2018</v>
      </c>
      <c r="H52" s="141">
        <v>2017</v>
      </c>
      <c r="I52" s="141">
        <v>2016</v>
      </c>
      <c r="J52" s="141">
        <v>2015</v>
      </c>
      <c r="K52" s="141">
        <v>2014</v>
      </c>
      <c r="L52" s="141">
        <v>2013</v>
      </c>
      <c r="M52" s="21">
        <v>2012</v>
      </c>
      <c r="N52" s="978"/>
      <c r="Q52" s="94"/>
      <c r="R52" s="94"/>
      <c r="S52" s="94"/>
    </row>
    <row r="53" spans="2:20" ht="15" thickBot="1">
      <c r="B53" s="49" t="s">
        <v>53</v>
      </c>
      <c r="C53" s="1144">
        <v>12970</v>
      </c>
      <c r="D53" s="1207">
        <v>13280</v>
      </c>
      <c r="E53" s="732">
        <v>13410</v>
      </c>
      <c r="F53" s="732">
        <v>13800</v>
      </c>
      <c r="G53" s="732">
        <v>14170</v>
      </c>
      <c r="H53" s="732">
        <v>14460</v>
      </c>
      <c r="I53" s="732">
        <v>14590</v>
      </c>
      <c r="J53" s="733">
        <v>14820</v>
      </c>
      <c r="K53" s="733">
        <v>15090</v>
      </c>
      <c r="L53" s="733">
        <v>15380</v>
      </c>
      <c r="M53" s="733">
        <v>15550</v>
      </c>
      <c r="N53" s="756"/>
      <c r="Q53" s="756"/>
      <c r="R53" s="756"/>
      <c r="S53" s="756"/>
      <c r="T53" s="267"/>
    </row>
    <row r="54" spans="2:20" ht="15" thickBot="1">
      <c r="B54" s="84" t="s">
        <v>115</v>
      </c>
      <c r="C54" s="1143">
        <v>4092</v>
      </c>
      <c r="D54" s="1140">
        <v>4258</v>
      </c>
      <c r="E54" s="726">
        <v>4314</v>
      </c>
      <c r="F54" s="726">
        <v>4490</v>
      </c>
      <c r="G54" s="726">
        <v>4663</v>
      </c>
      <c r="H54" s="726">
        <v>4758</v>
      </c>
      <c r="I54" s="726">
        <v>4801</v>
      </c>
      <c r="J54" s="726">
        <v>4990</v>
      </c>
      <c r="K54" s="726">
        <v>5007</v>
      </c>
      <c r="L54" s="726">
        <v>5096</v>
      </c>
      <c r="M54" s="726">
        <v>5230</v>
      </c>
      <c r="N54" s="737"/>
      <c r="Q54" s="737"/>
      <c r="R54" s="737"/>
      <c r="S54" s="737"/>
    </row>
    <row r="55" spans="2:20" ht="15" thickBot="1">
      <c r="B55" s="84" t="s">
        <v>1245</v>
      </c>
      <c r="C55" s="1145" t="s">
        <v>59</v>
      </c>
      <c r="D55" s="1168" t="s">
        <v>59</v>
      </c>
      <c r="E55" s="726" t="s">
        <v>59</v>
      </c>
      <c r="F55" s="726" t="s">
        <v>59</v>
      </c>
      <c r="G55" s="726" t="s">
        <v>59</v>
      </c>
      <c r="H55" s="726" t="s">
        <v>59</v>
      </c>
      <c r="I55" s="726">
        <v>2503</v>
      </c>
      <c r="J55" s="726" t="s">
        <v>59</v>
      </c>
      <c r="K55" s="726">
        <v>2627</v>
      </c>
      <c r="L55" s="726">
        <v>2695</v>
      </c>
      <c r="M55" s="726" t="s">
        <v>59</v>
      </c>
      <c r="N55" s="737"/>
      <c r="Q55" s="737"/>
      <c r="R55" s="737"/>
      <c r="S55" s="737"/>
    </row>
    <row r="56" spans="2:20" ht="15" thickBot="1">
      <c r="B56" s="84" t="s">
        <v>1246</v>
      </c>
      <c r="C56" s="1145" t="s">
        <v>59</v>
      </c>
      <c r="D56" s="1168" t="s">
        <v>59</v>
      </c>
      <c r="E56" s="726" t="s">
        <v>59</v>
      </c>
      <c r="F56" s="726" t="s">
        <v>59</v>
      </c>
      <c r="G56" s="726" t="s">
        <v>59</v>
      </c>
      <c r="H56" s="726" t="s">
        <v>59</v>
      </c>
      <c r="I56" s="726">
        <v>734</v>
      </c>
      <c r="J56" s="726">
        <v>746</v>
      </c>
      <c r="K56" s="726">
        <v>728</v>
      </c>
      <c r="L56" s="726">
        <v>728</v>
      </c>
      <c r="M56" s="726" t="s">
        <v>59</v>
      </c>
      <c r="N56" s="737"/>
      <c r="Q56" s="737"/>
      <c r="R56" s="737"/>
      <c r="S56" s="737"/>
    </row>
    <row r="57" spans="2:20" ht="15" thickBot="1">
      <c r="B57" s="84" t="s">
        <v>1247</v>
      </c>
      <c r="C57" s="1145" t="s">
        <v>59</v>
      </c>
      <c r="D57" s="1168" t="s">
        <v>59</v>
      </c>
      <c r="E57" s="726" t="s">
        <v>59</v>
      </c>
      <c r="F57" s="726" t="s">
        <v>59</v>
      </c>
      <c r="G57" s="726" t="s">
        <v>59</v>
      </c>
      <c r="H57" s="726" t="s">
        <v>59</v>
      </c>
      <c r="I57" s="726">
        <v>1564</v>
      </c>
      <c r="J57" s="726">
        <v>1613</v>
      </c>
      <c r="K57" s="726">
        <v>1651</v>
      </c>
      <c r="L57" s="726">
        <v>1673</v>
      </c>
      <c r="M57" s="726" t="s">
        <v>59</v>
      </c>
      <c r="N57" s="737"/>
      <c r="Q57" s="737"/>
      <c r="R57" s="737"/>
      <c r="S57" s="737"/>
    </row>
    <row r="58" spans="2:20" ht="15" thickBot="1">
      <c r="B58" s="84" t="s">
        <v>114</v>
      </c>
      <c r="C58" s="1143">
        <v>635</v>
      </c>
      <c r="D58" s="1140">
        <v>659</v>
      </c>
      <c r="E58" s="726">
        <v>659</v>
      </c>
      <c r="F58" s="726">
        <v>693</v>
      </c>
      <c r="G58" s="726">
        <v>713</v>
      </c>
      <c r="H58" s="726">
        <v>741</v>
      </c>
      <c r="I58" s="726">
        <v>752</v>
      </c>
      <c r="J58" s="726">
        <v>769</v>
      </c>
      <c r="K58" s="726">
        <v>722</v>
      </c>
      <c r="L58" s="726">
        <v>789</v>
      </c>
      <c r="M58" s="726">
        <v>805</v>
      </c>
      <c r="N58" s="737"/>
      <c r="Q58" s="737"/>
      <c r="R58" s="737"/>
      <c r="S58" s="737"/>
    </row>
    <row r="59" spans="2:20" ht="15" thickBot="1">
      <c r="B59" s="84" t="s">
        <v>126</v>
      </c>
      <c r="C59" s="1143">
        <v>407</v>
      </c>
      <c r="D59" s="1140">
        <v>402</v>
      </c>
      <c r="E59" s="726">
        <v>411</v>
      </c>
      <c r="F59" s="726">
        <v>424</v>
      </c>
      <c r="G59" s="726">
        <v>426</v>
      </c>
      <c r="H59" s="726">
        <v>434</v>
      </c>
      <c r="I59" s="726">
        <v>437</v>
      </c>
      <c r="J59" s="726">
        <v>431</v>
      </c>
      <c r="K59" s="726">
        <v>424</v>
      </c>
      <c r="L59" s="726">
        <v>431</v>
      </c>
      <c r="M59" s="726">
        <v>435</v>
      </c>
      <c r="N59" s="737"/>
      <c r="Q59" s="737"/>
      <c r="R59" s="737"/>
      <c r="S59" s="737"/>
    </row>
    <row r="60" spans="2:20" ht="15" thickBot="1">
      <c r="B60" s="84" t="s">
        <v>113</v>
      </c>
      <c r="C60" s="1143">
        <v>269</v>
      </c>
      <c r="D60" s="1140">
        <v>284</v>
      </c>
      <c r="E60" s="726">
        <v>291</v>
      </c>
      <c r="F60" s="726">
        <v>302</v>
      </c>
      <c r="G60" s="726">
        <v>325</v>
      </c>
      <c r="H60" s="726">
        <v>336</v>
      </c>
      <c r="I60" s="726">
        <v>347</v>
      </c>
      <c r="J60" s="726">
        <v>365</v>
      </c>
      <c r="K60" s="726">
        <v>378</v>
      </c>
      <c r="L60" s="726">
        <v>395</v>
      </c>
      <c r="M60" s="726">
        <v>409</v>
      </c>
      <c r="N60" s="737"/>
      <c r="Q60" s="737"/>
      <c r="R60" s="737"/>
      <c r="S60" s="737"/>
      <c r="T60" s="93"/>
    </row>
    <row r="61" spans="2:20" ht="15" thickBot="1">
      <c r="B61" s="84" t="s">
        <v>117</v>
      </c>
      <c r="C61" s="1143">
        <v>237</v>
      </c>
      <c r="D61" s="1140">
        <v>252</v>
      </c>
      <c r="E61" s="726">
        <v>262</v>
      </c>
      <c r="F61" s="726">
        <v>271</v>
      </c>
      <c r="G61" s="726">
        <v>290</v>
      </c>
      <c r="H61" s="726">
        <v>295</v>
      </c>
      <c r="I61" s="726">
        <v>301</v>
      </c>
      <c r="J61" s="726">
        <v>318</v>
      </c>
      <c r="K61" s="726">
        <v>326</v>
      </c>
      <c r="L61" s="726">
        <v>348</v>
      </c>
      <c r="M61" s="726">
        <v>367</v>
      </c>
      <c r="N61" s="737"/>
      <c r="Q61" s="737"/>
      <c r="R61" s="737"/>
      <c r="S61" s="737"/>
    </row>
    <row r="62" spans="2:20" ht="15" thickBot="1">
      <c r="B62" s="84" t="s">
        <v>139</v>
      </c>
      <c r="C62" s="1143">
        <v>195</v>
      </c>
      <c r="D62" s="1140">
        <v>201</v>
      </c>
      <c r="E62" s="726">
        <v>196</v>
      </c>
      <c r="F62" s="726">
        <v>194</v>
      </c>
      <c r="G62" s="726">
        <v>201</v>
      </c>
      <c r="H62" s="726">
        <v>204</v>
      </c>
      <c r="I62" s="726" t="s">
        <v>59</v>
      </c>
      <c r="J62" s="726" t="s">
        <v>59</v>
      </c>
      <c r="K62" s="726" t="s">
        <v>59</v>
      </c>
      <c r="L62" s="726" t="s">
        <v>59</v>
      </c>
      <c r="M62" s="726">
        <v>251</v>
      </c>
      <c r="N62" s="737"/>
      <c r="Q62" s="737"/>
      <c r="R62" s="737"/>
      <c r="S62" s="737"/>
    </row>
    <row r="63" spans="2:20" ht="15" thickBot="1">
      <c r="B63" s="84" t="s">
        <v>1248</v>
      </c>
      <c r="C63" s="1143">
        <v>396</v>
      </c>
      <c r="D63" s="1140">
        <v>413</v>
      </c>
      <c r="E63" s="726">
        <v>407</v>
      </c>
      <c r="F63" s="726">
        <v>422</v>
      </c>
      <c r="G63" s="726">
        <v>432</v>
      </c>
      <c r="H63" s="726">
        <v>432</v>
      </c>
      <c r="I63" s="726">
        <v>434</v>
      </c>
      <c r="J63" s="726">
        <v>424</v>
      </c>
      <c r="K63" s="726">
        <v>440</v>
      </c>
      <c r="L63" s="726">
        <v>452</v>
      </c>
      <c r="M63" s="726" t="s">
        <v>59</v>
      </c>
      <c r="N63" s="737"/>
      <c r="Q63" s="737"/>
      <c r="R63" s="737"/>
      <c r="S63" s="737"/>
    </row>
    <row r="64" spans="2:20" ht="15" thickBot="1">
      <c r="B64" s="84" t="s">
        <v>1249</v>
      </c>
      <c r="C64" s="1143"/>
      <c r="D64" s="1140">
        <v>167</v>
      </c>
      <c r="E64" s="726">
        <v>168</v>
      </c>
      <c r="F64" s="726">
        <v>170</v>
      </c>
      <c r="G64" s="726">
        <v>186</v>
      </c>
      <c r="H64" s="726">
        <v>187</v>
      </c>
      <c r="I64" s="726">
        <v>185</v>
      </c>
      <c r="J64" s="726">
        <v>190</v>
      </c>
      <c r="K64" s="726">
        <v>189</v>
      </c>
      <c r="L64" s="726">
        <v>192</v>
      </c>
      <c r="M64" s="726">
        <v>212</v>
      </c>
      <c r="N64" s="737"/>
      <c r="Q64" s="737"/>
      <c r="R64" s="737"/>
      <c r="S64" s="737"/>
    </row>
    <row r="65" spans="2:19" ht="15" thickBot="1">
      <c r="B65" s="84" t="s">
        <v>1250</v>
      </c>
      <c r="C65" s="1145" t="s">
        <v>59</v>
      </c>
      <c r="D65" s="1168" t="s">
        <v>59</v>
      </c>
      <c r="E65" s="726">
        <v>109</v>
      </c>
      <c r="F65" s="726">
        <v>119</v>
      </c>
      <c r="G65" s="726">
        <v>124</v>
      </c>
      <c r="H65" s="726">
        <v>128</v>
      </c>
      <c r="I65" s="726">
        <v>130</v>
      </c>
      <c r="J65" s="726">
        <v>136</v>
      </c>
      <c r="K65" s="726">
        <v>141</v>
      </c>
      <c r="L65" s="726">
        <v>152</v>
      </c>
      <c r="M65" s="726">
        <v>157</v>
      </c>
      <c r="N65" s="737"/>
      <c r="Q65" s="737"/>
      <c r="R65" s="737"/>
      <c r="S65" s="737"/>
    </row>
    <row r="66" spans="2:19" ht="15" thickBot="1">
      <c r="B66" s="84" t="s">
        <v>201</v>
      </c>
      <c r="C66" s="1143">
        <v>80</v>
      </c>
      <c r="D66" s="1140">
        <v>80</v>
      </c>
      <c r="E66" s="726">
        <v>79</v>
      </c>
      <c r="F66" s="726">
        <v>79</v>
      </c>
      <c r="G66" s="726">
        <v>78</v>
      </c>
      <c r="H66" s="726">
        <v>80</v>
      </c>
      <c r="I66" s="726">
        <v>81</v>
      </c>
      <c r="J66" s="726">
        <v>82</v>
      </c>
      <c r="K66" s="726">
        <v>85</v>
      </c>
      <c r="L66" s="726">
        <v>89</v>
      </c>
      <c r="M66" s="726">
        <v>93</v>
      </c>
      <c r="N66" s="737"/>
      <c r="Q66" s="737"/>
      <c r="R66" s="737"/>
      <c r="S66" s="737"/>
    </row>
    <row r="67" spans="2:19" ht="15" thickBot="1">
      <c r="B67" s="84" t="s">
        <v>116</v>
      </c>
      <c r="C67" s="1143">
        <v>75</v>
      </c>
      <c r="D67" s="1140">
        <v>78</v>
      </c>
      <c r="E67" s="726">
        <v>80</v>
      </c>
      <c r="F67" s="726">
        <v>82</v>
      </c>
      <c r="G67" s="726">
        <v>88</v>
      </c>
      <c r="H67" s="726">
        <v>90</v>
      </c>
      <c r="I67" s="726">
        <v>93</v>
      </c>
      <c r="J67" s="726">
        <v>93</v>
      </c>
      <c r="K67" s="726">
        <v>93</v>
      </c>
      <c r="L67" s="726">
        <v>94</v>
      </c>
      <c r="M67" s="726">
        <v>92</v>
      </c>
      <c r="N67" s="737"/>
      <c r="Q67" s="737"/>
      <c r="R67" s="737"/>
      <c r="S67" s="737"/>
    </row>
    <row r="68" spans="2:19" ht="15" thickBot="1">
      <c r="B68" s="84" t="s">
        <v>978</v>
      </c>
      <c r="C68" s="1414">
        <f>C53-C54-C58-C59-C60-C61-C62-C63-C64-C66-C67</f>
        <v>6584</v>
      </c>
      <c r="D68" s="1168">
        <f>D53-D54-D58-D59-D60-D61-D62-D63-D64-D66-D67</f>
        <v>6486</v>
      </c>
      <c r="E68" s="726">
        <f>E53-E54-E58-E59-E60-E61-E62-E63-E64-E65-E66-E67</f>
        <v>6434</v>
      </c>
      <c r="F68" s="726">
        <f>F53-F54-F58-F59-F60-F61-F62-F63-F64-F65-F66-F67</f>
        <v>6554</v>
      </c>
      <c r="G68" s="726">
        <v>6644</v>
      </c>
      <c r="H68" s="726">
        <v>6775</v>
      </c>
      <c r="I68" s="726">
        <v>7029</v>
      </c>
      <c r="J68" s="726">
        <v>7022</v>
      </c>
      <c r="K68" s="726">
        <v>7804</v>
      </c>
      <c r="L68" s="726">
        <v>8038</v>
      </c>
      <c r="M68" s="726">
        <v>7499</v>
      </c>
      <c r="N68" s="737"/>
      <c r="Q68" s="737"/>
      <c r="R68" s="737"/>
      <c r="S68" s="737"/>
    </row>
    <row r="69" spans="2:19" ht="15" thickBot="1">
      <c r="B69" s="49" t="s">
        <v>119</v>
      </c>
      <c r="C69" s="1144">
        <v>564</v>
      </c>
      <c r="D69" s="1207">
        <v>573</v>
      </c>
      <c r="E69" s="726">
        <v>581</v>
      </c>
      <c r="F69" s="733">
        <v>609</v>
      </c>
      <c r="G69" s="733">
        <v>647</v>
      </c>
      <c r="H69" s="733">
        <v>655</v>
      </c>
      <c r="I69" s="733">
        <v>661</v>
      </c>
      <c r="J69" s="733">
        <v>687</v>
      </c>
      <c r="K69" s="733">
        <v>714</v>
      </c>
      <c r="L69" s="733">
        <v>710</v>
      </c>
      <c r="M69" s="733">
        <v>713</v>
      </c>
      <c r="N69" s="756"/>
      <c r="Q69" s="756"/>
      <c r="R69" s="756"/>
      <c r="S69" s="756"/>
    </row>
    <row r="70" spans="2:19" ht="15" thickBot="1">
      <c r="B70" s="49" t="s">
        <v>1251</v>
      </c>
      <c r="C70" s="1144">
        <v>3589</v>
      </c>
      <c r="D70" s="1207">
        <v>3621</v>
      </c>
      <c r="E70" s="726">
        <v>3625</v>
      </c>
      <c r="F70" s="733">
        <v>3620</v>
      </c>
      <c r="G70" s="733">
        <v>3674</v>
      </c>
      <c r="H70" s="733">
        <v>3629</v>
      </c>
      <c r="I70" s="733">
        <v>3631</v>
      </c>
      <c r="J70" s="733">
        <v>3659</v>
      </c>
      <c r="K70" s="733">
        <v>3667</v>
      </c>
      <c r="L70" s="733">
        <v>3718</v>
      </c>
      <c r="M70" s="733">
        <v>3703</v>
      </c>
      <c r="N70" s="756"/>
      <c r="Q70" s="756"/>
      <c r="R70" s="756"/>
      <c r="S70" s="756"/>
    </row>
    <row r="71" spans="2:19" ht="15" thickBot="1">
      <c r="B71" s="49" t="s">
        <v>1252</v>
      </c>
      <c r="C71" s="1144">
        <v>1452</v>
      </c>
      <c r="D71" s="1207">
        <v>1474</v>
      </c>
      <c r="E71" s="726">
        <v>1503</v>
      </c>
      <c r="F71" s="733">
        <v>1549</v>
      </c>
      <c r="G71" s="733">
        <v>1605</v>
      </c>
      <c r="H71" s="733">
        <v>1643</v>
      </c>
      <c r="I71" s="733">
        <v>1675</v>
      </c>
      <c r="J71" s="733">
        <v>1732</v>
      </c>
      <c r="K71" s="733">
        <v>1764</v>
      </c>
      <c r="L71" s="733">
        <v>1796</v>
      </c>
      <c r="M71" s="733">
        <v>1798</v>
      </c>
      <c r="N71" s="756"/>
      <c r="Q71" s="756"/>
      <c r="R71" s="756"/>
      <c r="S71" s="756"/>
    </row>
    <row r="72" spans="2:19" ht="15" thickBot="1">
      <c r="B72" s="84" t="s">
        <v>202</v>
      </c>
      <c r="C72" s="1143">
        <v>156</v>
      </c>
      <c r="D72" s="1140">
        <v>160</v>
      </c>
      <c r="E72" s="726">
        <v>162</v>
      </c>
      <c r="F72" s="726">
        <v>167</v>
      </c>
      <c r="G72" s="726">
        <v>177</v>
      </c>
      <c r="H72" s="726">
        <v>181</v>
      </c>
      <c r="I72" s="726">
        <v>188</v>
      </c>
      <c r="J72" s="726">
        <v>189</v>
      </c>
      <c r="K72" s="726">
        <v>194</v>
      </c>
      <c r="L72" s="726">
        <v>203</v>
      </c>
      <c r="M72" s="726">
        <v>210</v>
      </c>
      <c r="N72" s="737"/>
      <c r="Q72" s="737"/>
      <c r="R72" s="737"/>
      <c r="S72" s="737"/>
    </row>
    <row r="73" spans="2:19" ht="15" thickBot="1">
      <c r="B73" s="84" t="s">
        <v>120</v>
      </c>
      <c r="C73" s="1143">
        <v>168</v>
      </c>
      <c r="D73" s="1140">
        <v>170</v>
      </c>
      <c r="E73" s="726">
        <v>174</v>
      </c>
      <c r="F73" s="726">
        <v>178</v>
      </c>
      <c r="G73" s="726">
        <v>187</v>
      </c>
      <c r="H73" s="726">
        <v>190</v>
      </c>
      <c r="I73" s="726">
        <v>195</v>
      </c>
      <c r="J73" s="726">
        <v>200</v>
      </c>
      <c r="K73" s="726">
        <v>210</v>
      </c>
      <c r="L73" s="726">
        <v>219</v>
      </c>
      <c r="M73" s="726">
        <v>230</v>
      </c>
      <c r="N73" s="737"/>
      <c r="Q73" s="737"/>
      <c r="R73" s="737"/>
      <c r="S73" s="737"/>
    </row>
    <row r="74" spans="2:19" ht="15" thickBot="1">
      <c r="B74" s="84" t="s">
        <v>997</v>
      </c>
      <c r="C74" s="1143">
        <v>257</v>
      </c>
      <c r="D74" s="1140">
        <v>265</v>
      </c>
      <c r="E74" s="726">
        <v>262</v>
      </c>
      <c r="F74" s="726">
        <v>271</v>
      </c>
      <c r="G74" s="726">
        <v>294</v>
      </c>
      <c r="H74" s="726">
        <v>304</v>
      </c>
      <c r="I74" s="726">
        <v>304</v>
      </c>
      <c r="J74" s="726">
        <v>320</v>
      </c>
      <c r="K74" s="726">
        <v>315</v>
      </c>
      <c r="L74" s="726">
        <v>323</v>
      </c>
      <c r="M74" s="726">
        <v>330</v>
      </c>
      <c r="N74" s="737"/>
      <c r="Q74" s="737"/>
      <c r="R74" s="737"/>
      <c r="S74" s="737"/>
    </row>
    <row r="75" spans="2:19" ht="15" thickBot="1">
      <c r="B75" s="49" t="s">
        <v>64</v>
      </c>
      <c r="C75" s="1144">
        <v>1253</v>
      </c>
      <c r="D75" s="1207">
        <v>1277</v>
      </c>
      <c r="E75" s="726">
        <v>1301</v>
      </c>
      <c r="F75" s="733">
        <v>1327</v>
      </c>
      <c r="G75" s="733">
        <v>1378</v>
      </c>
      <c r="H75" s="733">
        <v>1401</v>
      </c>
      <c r="I75" s="733">
        <v>1450</v>
      </c>
      <c r="J75" s="733">
        <v>1488</v>
      </c>
      <c r="K75" s="733">
        <v>1491</v>
      </c>
      <c r="L75" s="733">
        <v>1531</v>
      </c>
      <c r="M75" s="733">
        <v>1568</v>
      </c>
      <c r="N75" s="756"/>
      <c r="Q75" s="756"/>
      <c r="R75" s="756"/>
      <c r="S75" s="756"/>
    </row>
    <row r="76" spans="2:19" ht="15" thickBot="1">
      <c r="B76" s="49" t="s">
        <v>1253</v>
      </c>
      <c r="C76" s="1144">
        <v>234</v>
      </c>
      <c r="D76" s="1207">
        <v>239</v>
      </c>
      <c r="E76" s="726">
        <v>255</v>
      </c>
      <c r="F76" s="733">
        <v>259</v>
      </c>
      <c r="G76" s="733">
        <v>287</v>
      </c>
      <c r="H76" s="733">
        <v>304</v>
      </c>
      <c r="I76" s="733">
        <v>317</v>
      </c>
      <c r="J76" s="733">
        <v>364</v>
      </c>
      <c r="K76" s="733">
        <v>379</v>
      </c>
      <c r="L76" s="733">
        <v>414</v>
      </c>
      <c r="M76" s="733">
        <v>472</v>
      </c>
      <c r="N76" s="756"/>
      <c r="Q76" s="756"/>
      <c r="R76" s="756"/>
      <c r="S76" s="756"/>
    </row>
    <row r="77" spans="2:19" ht="15" thickBot="1">
      <c r="B77" s="49" t="s">
        <v>1254</v>
      </c>
      <c r="C77" s="69" t="s">
        <v>59</v>
      </c>
      <c r="D77" s="60" t="s">
        <v>59</v>
      </c>
      <c r="E77" s="726" t="s">
        <v>59</v>
      </c>
      <c r="F77" s="733">
        <v>1327</v>
      </c>
      <c r="G77" s="733">
        <v>1378</v>
      </c>
      <c r="H77" s="733">
        <v>1401</v>
      </c>
      <c r="I77" s="733">
        <v>1450</v>
      </c>
      <c r="J77" s="733">
        <v>1488</v>
      </c>
      <c r="K77" s="733">
        <v>1491</v>
      </c>
      <c r="L77" s="733">
        <v>1531</v>
      </c>
      <c r="M77" s="733">
        <v>1570</v>
      </c>
      <c r="N77" s="756"/>
      <c r="Q77" s="756"/>
      <c r="R77" s="756"/>
      <c r="S77" s="756"/>
    </row>
    <row r="78" spans="2:19" ht="15" thickBot="1">
      <c r="B78" s="49" t="s">
        <v>1255</v>
      </c>
      <c r="C78" s="69" t="s">
        <v>59</v>
      </c>
      <c r="D78" s="60" t="s">
        <v>59</v>
      </c>
      <c r="E78" s="726" t="s">
        <v>59</v>
      </c>
      <c r="F78" s="733" t="s">
        <v>59</v>
      </c>
      <c r="G78" s="733">
        <v>6062</v>
      </c>
      <c r="H78" s="733" t="s">
        <v>59</v>
      </c>
      <c r="I78" s="733">
        <v>6589</v>
      </c>
      <c r="J78" s="726" t="s">
        <v>59</v>
      </c>
      <c r="K78" s="733">
        <v>6500</v>
      </c>
      <c r="L78" s="726" t="s">
        <v>59</v>
      </c>
      <c r="M78" s="736">
        <v>8089</v>
      </c>
      <c r="N78" s="737"/>
      <c r="Q78" s="756"/>
      <c r="R78" s="756"/>
      <c r="S78" s="756"/>
    </row>
    <row r="79" spans="2:19" ht="15" thickBot="1">
      <c r="B79" s="49" t="s">
        <v>1256</v>
      </c>
      <c r="C79" s="69" t="s">
        <v>59</v>
      </c>
      <c r="D79" s="60" t="s">
        <v>59</v>
      </c>
      <c r="E79" s="726" t="s">
        <v>59</v>
      </c>
      <c r="F79" s="733" t="s">
        <v>59</v>
      </c>
      <c r="G79" s="733" t="s">
        <v>59</v>
      </c>
      <c r="H79" s="733" t="s">
        <v>59</v>
      </c>
      <c r="I79" s="733" t="s">
        <v>59</v>
      </c>
      <c r="J79" s="726" t="s">
        <v>59</v>
      </c>
      <c r="K79" s="726" t="s">
        <v>59</v>
      </c>
      <c r="L79" s="726" t="s">
        <v>59</v>
      </c>
      <c r="M79" s="726" t="s">
        <v>59</v>
      </c>
      <c r="N79" s="737"/>
      <c r="Q79" s="737"/>
      <c r="R79" s="756"/>
      <c r="S79" s="756"/>
    </row>
    <row r="80" spans="2:19">
      <c r="B80" s="10" t="s">
        <v>2051</v>
      </c>
      <c r="C80" s="9"/>
      <c r="D80" s="9"/>
      <c r="E80" s="9"/>
      <c r="F80" s="9"/>
      <c r="G80" s="9"/>
      <c r="H80" s="9"/>
      <c r="I80" s="9"/>
      <c r="J80" s="9"/>
      <c r="K80" s="9"/>
      <c r="L80" s="9"/>
      <c r="M80" s="92"/>
    </row>
    <row r="81" spans="2:18">
      <c r="B81" s="195" t="s">
        <v>1683</v>
      </c>
      <c r="C81" s="267"/>
      <c r="D81" s="267"/>
      <c r="E81" s="267"/>
      <c r="F81" s="267"/>
      <c r="G81" s="267"/>
      <c r="H81" s="267"/>
    </row>
    <row r="82" spans="2:18">
      <c r="C82" s="267"/>
      <c r="D82" s="267"/>
      <c r="E82" s="267"/>
      <c r="F82" s="267"/>
      <c r="G82" s="267"/>
      <c r="H82" s="267"/>
      <c r="I82" s="267"/>
    </row>
    <row r="84" spans="2:18" ht="15.6">
      <c r="B84" s="83" t="s">
        <v>1257</v>
      </c>
      <c r="C84" s="93"/>
      <c r="D84" s="93"/>
      <c r="E84" s="93"/>
      <c r="F84" s="93"/>
      <c r="G84" s="93"/>
      <c r="H84" s="93"/>
      <c r="I84" s="93"/>
      <c r="J84" s="93"/>
      <c r="K84" s="93"/>
      <c r="L84" s="93"/>
      <c r="M84" s="93"/>
    </row>
    <row r="85" spans="2:18">
      <c r="B85" s="93" t="s">
        <v>46</v>
      </c>
      <c r="C85" s="93"/>
      <c r="D85" s="93"/>
      <c r="E85" s="93"/>
      <c r="F85" s="93"/>
      <c r="G85" s="93"/>
      <c r="H85" s="93"/>
      <c r="I85" s="93"/>
      <c r="J85" s="93"/>
      <c r="K85" s="93"/>
      <c r="L85" s="93"/>
      <c r="M85" s="93"/>
    </row>
    <row r="86" spans="2:18">
      <c r="B86" s="21"/>
      <c r="C86" s="1559" t="s">
        <v>1258</v>
      </c>
      <c r="D86" s="1571"/>
      <c r="E86" s="1571"/>
      <c r="F86" s="1571"/>
      <c r="G86" s="1571"/>
      <c r="H86" s="1571"/>
      <c r="I86" s="1571"/>
      <c r="J86" s="1571"/>
      <c r="K86" s="1571"/>
      <c r="L86" s="1571"/>
      <c r="M86" s="784"/>
      <c r="N86" s="784"/>
      <c r="O86" s="93"/>
      <c r="P86" s="93"/>
      <c r="Q86" s="93"/>
      <c r="R86" s="93"/>
    </row>
    <row r="87" spans="2:18">
      <c r="B87" s="21"/>
      <c r="C87" s="141">
        <v>2021</v>
      </c>
      <c r="D87" s="141">
        <v>2020</v>
      </c>
      <c r="E87" s="141">
        <v>2019</v>
      </c>
      <c r="F87" s="141">
        <v>2018</v>
      </c>
      <c r="G87" s="141">
        <v>2017</v>
      </c>
      <c r="H87" s="141">
        <v>2016</v>
      </c>
      <c r="I87" s="141">
        <v>2015</v>
      </c>
      <c r="J87" s="141">
        <v>2014</v>
      </c>
      <c r="K87" s="141">
        <v>2013</v>
      </c>
      <c r="L87" s="141">
        <v>2012</v>
      </c>
      <c r="O87" s="93"/>
      <c r="P87" s="93"/>
      <c r="Q87" s="93"/>
      <c r="R87" s="93"/>
    </row>
    <row r="88" spans="2:18" ht="15" thickBot="1">
      <c r="B88" s="84" t="s">
        <v>638</v>
      </c>
      <c r="C88" s="726">
        <v>188</v>
      </c>
      <c r="D88" s="726">
        <v>164</v>
      </c>
      <c r="E88" s="726">
        <v>242</v>
      </c>
      <c r="F88" s="726">
        <v>303</v>
      </c>
      <c r="G88" s="726">
        <v>317</v>
      </c>
      <c r="H88" s="726">
        <v>345</v>
      </c>
      <c r="I88" s="726">
        <v>357</v>
      </c>
      <c r="J88" s="726">
        <v>348</v>
      </c>
      <c r="K88" s="726">
        <v>359</v>
      </c>
      <c r="L88" s="726">
        <v>355</v>
      </c>
      <c r="O88" s="93"/>
      <c r="P88" s="93"/>
      <c r="Q88" s="93"/>
      <c r="R88" s="93"/>
    </row>
    <row r="89" spans="2:18" ht="15" thickBot="1">
      <c r="B89" s="84" t="s">
        <v>1259</v>
      </c>
      <c r="C89" s="726">
        <v>151</v>
      </c>
      <c r="D89" s="726">
        <v>160</v>
      </c>
      <c r="E89" s="726">
        <v>229</v>
      </c>
      <c r="F89" s="726">
        <v>290</v>
      </c>
      <c r="G89" s="726">
        <v>303</v>
      </c>
      <c r="H89" s="726">
        <v>294</v>
      </c>
      <c r="I89" s="726">
        <v>300</v>
      </c>
      <c r="J89" s="726">
        <v>341</v>
      </c>
      <c r="K89" s="726">
        <v>315</v>
      </c>
      <c r="L89" s="726">
        <v>308</v>
      </c>
      <c r="O89" s="93"/>
      <c r="P89" s="93"/>
      <c r="Q89" s="93"/>
      <c r="R89" s="93"/>
    </row>
    <row r="90" spans="2:18" ht="15" thickBot="1">
      <c r="B90" s="84" t="s">
        <v>1260</v>
      </c>
      <c r="C90" s="726">
        <v>75</v>
      </c>
      <c r="D90" s="726">
        <v>69</v>
      </c>
      <c r="E90" s="726">
        <v>73</v>
      </c>
      <c r="F90" s="726">
        <v>89</v>
      </c>
      <c r="G90" s="726">
        <v>96</v>
      </c>
      <c r="H90" s="726">
        <v>106</v>
      </c>
      <c r="I90" s="726">
        <v>111</v>
      </c>
      <c r="J90" s="726">
        <v>115</v>
      </c>
      <c r="K90" s="726">
        <v>132</v>
      </c>
      <c r="L90" s="726">
        <v>135</v>
      </c>
      <c r="O90" s="93"/>
      <c r="P90" s="93"/>
      <c r="Q90" s="93"/>
      <c r="R90" s="93"/>
    </row>
    <row r="91" spans="2:18" ht="15" thickBot="1">
      <c r="B91" s="84" t="s">
        <v>1261</v>
      </c>
      <c r="C91" s="726">
        <v>191</v>
      </c>
      <c r="D91" s="726">
        <v>178</v>
      </c>
      <c r="E91" s="726">
        <v>189</v>
      </c>
      <c r="F91" s="726">
        <v>214</v>
      </c>
      <c r="G91" s="726">
        <v>220</v>
      </c>
      <c r="H91" s="726">
        <v>227</v>
      </c>
      <c r="I91" s="726">
        <v>239</v>
      </c>
      <c r="J91" s="726">
        <v>256</v>
      </c>
      <c r="K91" s="726">
        <v>272</v>
      </c>
      <c r="L91" s="726">
        <v>275</v>
      </c>
      <c r="O91" s="93"/>
      <c r="P91" s="93"/>
      <c r="Q91" s="93"/>
      <c r="R91" s="93"/>
    </row>
    <row r="92" spans="2:18" ht="15" thickBot="1">
      <c r="B92" s="84" t="s">
        <v>1220</v>
      </c>
      <c r="C92" s="726">
        <v>103</v>
      </c>
      <c r="D92" s="726">
        <v>102</v>
      </c>
      <c r="E92" s="726">
        <v>109</v>
      </c>
      <c r="F92" s="726">
        <v>141</v>
      </c>
      <c r="G92" s="726">
        <v>127</v>
      </c>
      <c r="H92" s="726">
        <v>131</v>
      </c>
      <c r="I92" s="726">
        <v>134</v>
      </c>
      <c r="J92" s="726">
        <v>171</v>
      </c>
      <c r="K92" s="726">
        <v>199</v>
      </c>
      <c r="L92" s="726">
        <v>200</v>
      </c>
      <c r="O92" s="93"/>
      <c r="P92" s="93"/>
      <c r="Q92" s="93"/>
      <c r="R92" s="93"/>
    </row>
    <row r="93" spans="2:18">
      <c r="B93" s="152" t="s">
        <v>1262</v>
      </c>
      <c r="C93" s="737">
        <v>91</v>
      </c>
      <c r="D93" s="737">
        <v>77</v>
      </c>
      <c r="E93" s="737">
        <v>75</v>
      </c>
      <c r="F93" s="737">
        <v>93</v>
      </c>
      <c r="G93" s="737">
        <v>90</v>
      </c>
      <c r="H93" s="737">
        <v>119</v>
      </c>
      <c r="I93" s="737">
        <v>124</v>
      </c>
      <c r="J93" s="737">
        <v>115</v>
      </c>
      <c r="K93" s="737">
        <v>95</v>
      </c>
      <c r="L93" s="737">
        <v>112</v>
      </c>
      <c r="O93" s="93"/>
      <c r="P93" s="93"/>
      <c r="Q93" s="93"/>
      <c r="R93" s="93"/>
    </row>
    <row r="94" spans="2:18">
      <c r="B94" s="738" t="s">
        <v>1263</v>
      </c>
      <c r="C94" s="738">
        <v>2909</v>
      </c>
      <c r="D94" s="738">
        <v>2464</v>
      </c>
      <c r="E94" s="738">
        <v>2777</v>
      </c>
      <c r="F94" s="738">
        <v>3460</v>
      </c>
      <c r="G94" s="738">
        <v>3618</v>
      </c>
      <c r="H94" s="738">
        <v>3785</v>
      </c>
      <c r="I94" s="738">
        <v>3914</v>
      </c>
      <c r="J94" s="738">
        <v>4178</v>
      </c>
      <c r="K94" s="738">
        <v>4689</v>
      </c>
      <c r="L94" s="738">
        <v>4834</v>
      </c>
      <c r="O94" s="93"/>
      <c r="P94" s="93"/>
      <c r="Q94" s="93"/>
      <c r="R94" s="93"/>
    </row>
    <row r="95" spans="2:18">
      <c r="B95" s="10" t="s">
        <v>2052</v>
      </c>
    </row>
    <row r="96" spans="2:18">
      <c r="B96" s="739" t="s">
        <v>1264</v>
      </c>
    </row>
    <row r="97" spans="2:19">
      <c r="B97" s="739"/>
    </row>
    <row r="98" spans="2:19" ht="15.6">
      <c r="B98" s="83" t="s">
        <v>1257</v>
      </c>
      <c r="C98" s="93"/>
      <c r="D98" s="93"/>
      <c r="E98" s="93"/>
      <c r="F98" s="93"/>
      <c r="G98" s="93"/>
      <c r="H98" s="93"/>
      <c r="I98" s="93"/>
      <c r="J98" s="93"/>
      <c r="K98" s="93"/>
      <c r="L98" s="93"/>
    </row>
    <row r="99" spans="2:19">
      <c r="B99" s="93" t="s">
        <v>1265</v>
      </c>
      <c r="C99" s="93"/>
      <c r="D99" s="93"/>
      <c r="E99" s="93"/>
      <c r="F99" s="93"/>
      <c r="G99" s="93"/>
      <c r="H99" s="93"/>
      <c r="I99" s="93"/>
      <c r="J99" s="93"/>
      <c r="K99" s="93"/>
      <c r="L99" s="93"/>
    </row>
    <row r="100" spans="2:19">
      <c r="B100" s="21"/>
      <c r="C100" s="1557" t="s">
        <v>1265</v>
      </c>
      <c r="D100" s="1572"/>
      <c r="E100" s="1572"/>
      <c r="F100" s="1572"/>
      <c r="G100" s="1572"/>
      <c r="H100" s="1572"/>
      <c r="I100" s="1572"/>
      <c r="J100" s="1572"/>
      <c r="K100" s="1572"/>
      <c r="L100" s="784"/>
      <c r="M100" s="784"/>
      <c r="N100" s="784"/>
    </row>
    <row r="101" spans="2:19">
      <c r="B101" s="21"/>
      <c r="C101" s="141">
        <v>2018</v>
      </c>
      <c r="D101" s="141">
        <v>2017</v>
      </c>
      <c r="E101" s="141">
        <v>2016</v>
      </c>
      <c r="F101" s="141">
        <v>2015</v>
      </c>
      <c r="G101" s="141">
        <v>2014</v>
      </c>
      <c r="H101" s="141">
        <v>2013</v>
      </c>
      <c r="I101" s="141">
        <v>2012</v>
      </c>
      <c r="J101" s="141">
        <v>2011</v>
      </c>
      <c r="K101" s="141">
        <v>2010</v>
      </c>
      <c r="S101" s="16"/>
    </row>
    <row r="102" spans="2:19" ht="15" thickBot="1">
      <c r="B102" s="84" t="s">
        <v>638</v>
      </c>
      <c r="C102" s="726">
        <v>950</v>
      </c>
      <c r="D102" s="726">
        <v>1002</v>
      </c>
      <c r="E102" s="726">
        <v>1067</v>
      </c>
      <c r="F102" s="726">
        <v>1089</v>
      </c>
      <c r="G102" s="726">
        <v>1252</v>
      </c>
      <c r="H102" s="726">
        <v>1401</v>
      </c>
      <c r="I102" s="726">
        <v>1303</v>
      </c>
      <c r="J102" s="726">
        <v>1486</v>
      </c>
      <c r="K102" s="726">
        <v>1885</v>
      </c>
    </row>
    <row r="103" spans="2:19" ht="15" thickBot="1">
      <c r="B103" s="84" t="s">
        <v>1259</v>
      </c>
      <c r="C103" s="726">
        <v>907</v>
      </c>
      <c r="D103" s="726">
        <v>977</v>
      </c>
      <c r="E103" s="726">
        <v>1033</v>
      </c>
      <c r="F103" s="726">
        <v>1038</v>
      </c>
      <c r="G103" s="726">
        <v>1171</v>
      </c>
      <c r="H103" s="726">
        <v>1694</v>
      </c>
      <c r="I103" s="726">
        <v>1616</v>
      </c>
      <c r="J103" s="726">
        <v>1801</v>
      </c>
      <c r="K103" s="726">
        <v>1825</v>
      </c>
    </row>
    <row r="104" spans="2:19" ht="15" thickBot="1">
      <c r="B104" s="84" t="s">
        <v>1260</v>
      </c>
      <c r="C104" s="726">
        <v>620</v>
      </c>
      <c r="D104" s="726">
        <v>666</v>
      </c>
      <c r="E104" s="726">
        <v>726</v>
      </c>
      <c r="F104" s="726">
        <v>748</v>
      </c>
      <c r="G104" s="726">
        <v>848</v>
      </c>
      <c r="H104" s="726">
        <v>1374</v>
      </c>
      <c r="I104" s="726">
        <v>1405</v>
      </c>
      <c r="J104" s="726">
        <v>1504</v>
      </c>
      <c r="K104" s="726">
        <v>1524</v>
      </c>
    </row>
    <row r="105" spans="2:19" ht="15" thickBot="1">
      <c r="B105" s="84" t="s">
        <v>1261</v>
      </c>
      <c r="C105" s="726">
        <v>421</v>
      </c>
      <c r="D105" s="726">
        <v>401</v>
      </c>
      <c r="E105" s="726">
        <v>451</v>
      </c>
      <c r="F105" s="726">
        <v>448</v>
      </c>
      <c r="G105" s="726">
        <v>517</v>
      </c>
      <c r="H105" s="726">
        <v>844</v>
      </c>
      <c r="I105" s="726">
        <v>878</v>
      </c>
      <c r="J105" s="726">
        <v>944</v>
      </c>
      <c r="K105" s="726">
        <v>958</v>
      </c>
    </row>
    <row r="106" spans="2:19" ht="15" thickBot="1">
      <c r="B106" s="84" t="s">
        <v>1220</v>
      </c>
      <c r="C106" s="726">
        <v>728</v>
      </c>
      <c r="D106" s="726">
        <v>721</v>
      </c>
      <c r="E106" s="726">
        <v>752</v>
      </c>
      <c r="F106" s="726">
        <v>804</v>
      </c>
      <c r="G106" s="726">
        <v>892</v>
      </c>
      <c r="H106" s="726">
        <v>1327</v>
      </c>
      <c r="I106" s="726">
        <v>1296</v>
      </c>
      <c r="J106" s="726">
        <v>1420</v>
      </c>
      <c r="K106" s="726">
        <v>1548</v>
      </c>
    </row>
    <row r="107" spans="2:19">
      <c r="B107" s="152" t="s">
        <v>1262</v>
      </c>
      <c r="C107" s="737">
        <v>679</v>
      </c>
      <c r="D107" s="737">
        <v>597</v>
      </c>
      <c r="E107" s="737">
        <v>627</v>
      </c>
      <c r="F107" s="737">
        <v>665</v>
      </c>
      <c r="G107" s="737">
        <v>621</v>
      </c>
      <c r="H107" s="737">
        <v>641</v>
      </c>
      <c r="I107" s="737">
        <v>670</v>
      </c>
      <c r="J107" s="737">
        <v>556</v>
      </c>
      <c r="K107" s="737">
        <v>439</v>
      </c>
    </row>
    <row r="108" spans="2:19">
      <c r="B108" s="738" t="s">
        <v>1263</v>
      </c>
      <c r="C108" s="738">
        <v>8382</v>
      </c>
      <c r="D108" s="738">
        <v>8901</v>
      </c>
      <c r="E108" s="738">
        <v>9925</v>
      </c>
      <c r="F108" s="738">
        <v>9475</v>
      </c>
      <c r="G108" s="738">
        <v>10207</v>
      </c>
      <c r="H108" s="738">
        <v>10890</v>
      </c>
      <c r="I108" s="738">
        <v>11262</v>
      </c>
      <c r="J108" s="738">
        <v>11268</v>
      </c>
      <c r="K108" s="738">
        <v>9303</v>
      </c>
    </row>
    <row r="109" spans="2:19">
      <c r="B109" s="10" t="s">
        <v>1687</v>
      </c>
    </row>
    <row r="110" spans="2:19">
      <c r="B110" s="739" t="s">
        <v>1264</v>
      </c>
    </row>
    <row r="113" spans="2:16" ht="15.6">
      <c r="B113" s="83" t="s">
        <v>1682</v>
      </c>
    </row>
    <row r="115" spans="2:16" ht="15.6">
      <c r="B115" s="83" t="s">
        <v>1266</v>
      </c>
    </row>
    <row r="116" spans="2:16">
      <c r="B116" s="93" t="s">
        <v>1267</v>
      </c>
    </row>
    <row r="117" spans="2:16">
      <c r="B117" s="21"/>
      <c r="C117" s="229"/>
      <c r="D117" s="229">
        <v>2020</v>
      </c>
      <c r="E117" s="229">
        <v>2015</v>
      </c>
      <c r="F117" s="868"/>
      <c r="G117" s="868"/>
    </row>
    <row r="118" spans="2:16" ht="15" thickBot="1">
      <c r="B118" s="84" t="s">
        <v>1268</v>
      </c>
      <c r="C118" s="734"/>
      <c r="D118" s="734">
        <v>23528</v>
      </c>
      <c r="E118" s="734">
        <v>27504</v>
      </c>
      <c r="F118" s="737"/>
      <c r="G118" s="737"/>
    </row>
    <row r="119" spans="2:16" ht="15" thickBot="1">
      <c r="B119" s="84" t="s">
        <v>1269</v>
      </c>
      <c r="C119" s="734"/>
      <c r="D119" s="734">
        <v>42784</v>
      </c>
      <c r="E119" s="734">
        <v>54830</v>
      </c>
      <c r="F119" s="737"/>
      <c r="G119" s="737"/>
    </row>
    <row r="120" spans="2:16">
      <c r="B120" s="87" t="s">
        <v>1270</v>
      </c>
      <c r="C120" s="87"/>
      <c r="D120" s="87"/>
      <c r="E120" s="87"/>
      <c r="F120" s="87"/>
      <c r="G120" s="87"/>
      <c r="H120" s="87"/>
      <c r="I120" s="87"/>
      <c r="J120" s="87"/>
    </row>
    <row r="121" spans="2:16">
      <c r="B121" s="87" t="s">
        <v>1271</v>
      </c>
      <c r="C121" s="87"/>
      <c r="D121" s="87"/>
      <c r="E121" s="87"/>
      <c r="F121" s="87"/>
      <c r="G121" s="87"/>
      <c r="H121" s="87"/>
      <c r="I121" s="87"/>
      <c r="J121" s="87"/>
    </row>
    <row r="122" spans="2:16">
      <c r="B122" s="41" t="s">
        <v>1686</v>
      </c>
    </row>
    <row r="125" spans="2:16" ht="15.6">
      <c r="B125" s="83" t="s">
        <v>1272</v>
      </c>
    </row>
    <row r="126" spans="2:16">
      <c r="B126" s="93" t="s">
        <v>1273</v>
      </c>
    </row>
    <row r="127" spans="2:16">
      <c r="B127" s="21"/>
      <c r="C127" s="21"/>
      <c r="D127" s="153"/>
      <c r="E127" s="153"/>
      <c r="F127" s="153"/>
      <c r="G127" s="153"/>
      <c r="H127" s="141"/>
      <c r="I127" s="141"/>
      <c r="J127" s="141"/>
      <c r="K127" s="141"/>
      <c r="L127" s="141"/>
      <c r="M127" s="141"/>
      <c r="P127" s="223"/>
    </row>
    <row r="128" spans="2:16">
      <c r="B128" s="21"/>
      <c r="C128" s="85">
        <v>2022</v>
      </c>
      <c r="D128" s="85">
        <v>2021</v>
      </c>
      <c r="E128" s="141">
        <v>2020</v>
      </c>
      <c r="F128" s="141">
        <v>2019</v>
      </c>
      <c r="G128" s="141">
        <v>2018</v>
      </c>
      <c r="H128" s="141">
        <v>2017</v>
      </c>
      <c r="I128" s="141">
        <v>2016</v>
      </c>
      <c r="J128" s="141">
        <v>2015</v>
      </c>
      <c r="K128" s="21">
        <v>2014</v>
      </c>
      <c r="L128" s="141">
        <v>2013</v>
      </c>
      <c r="M128" s="141">
        <v>2012</v>
      </c>
    </row>
    <row r="129" spans="2:13" ht="15" thickBot="1">
      <c r="B129" s="84" t="s">
        <v>115</v>
      </c>
      <c r="C129" s="734">
        <v>1220000</v>
      </c>
      <c r="D129" s="726">
        <v>1298000</v>
      </c>
      <c r="E129" s="726">
        <v>1300000</v>
      </c>
      <c r="F129" s="726">
        <v>1412000</v>
      </c>
      <c r="G129" s="726">
        <v>1424000</v>
      </c>
      <c r="H129" s="726">
        <v>1504000</v>
      </c>
      <c r="I129" s="726">
        <v>1514000</v>
      </c>
      <c r="J129" s="726">
        <v>1581000</v>
      </c>
      <c r="K129" s="726">
        <v>1573000</v>
      </c>
      <c r="L129" s="726">
        <v>1599000</v>
      </c>
      <c r="M129" s="726">
        <v>1595000</v>
      </c>
    </row>
    <row r="130" spans="2:13" ht="15" thickBot="1">
      <c r="B130" s="84" t="s">
        <v>114</v>
      </c>
      <c r="C130" s="1143">
        <v>107300</v>
      </c>
      <c r="D130" s="1140">
        <v>114800</v>
      </c>
      <c r="E130" s="726">
        <v>115500</v>
      </c>
      <c r="F130" s="726">
        <v>124000</v>
      </c>
      <c r="G130" s="726">
        <v>130300</v>
      </c>
      <c r="H130" s="726">
        <v>137600</v>
      </c>
      <c r="I130" s="726">
        <v>138500</v>
      </c>
      <c r="J130" s="726">
        <v>139700</v>
      </c>
      <c r="K130" s="726">
        <v>144100</v>
      </c>
      <c r="L130" s="726">
        <v>148400</v>
      </c>
      <c r="M130" s="726">
        <v>148900</v>
      </c>
    </row>
    <row r="131" spans="2:13" ht="15" thickBot="1">
      <c r="B131" s="84" t="s">
        <v>126</v>
      </c>
      <c r="C131" s="1143">
        <v>83800</v>
      </c>
      <c r="D131" s="1140">
        <v>85400</v>
      </c>
      <c r="E131" s="726">
        <v>88000</v>
      </c>
      <c r="F131" s="726">
        <v>97100</v>
      </c>
      <c r="G131" s="726">
        <v>98300</v>
      </c>
      <c r="H131" s="726">
        <v>101000</v>
      </c>
      <c r="I131" s="726">
        <v>100900</v>
      </c>
      <c r="J131" s="726">
        <v>98100</v>
      </c>
      <c r="K131" s="726">
        <v>100000</v>
      </c>
      <c r="L131" s="726">
        <v>102100</v>
      </c>
      <c r="M131" s="726">
        <v>101900</v>
      </c>
    </row>
    <row r="132" spans="2:13" ht="15" thickBot="1">
      <c r="B132" s="84" t="s">
        <v>113</v>
      </c>
      <c r="C132" s="1143">
        <v>187400</v>
      </c>
      <c r="D132" s="1140">
        <v>194400</v>
      </c>
      <c r="E132" s="726">
        <v>200800</v>
      </c>
      <c r="F132" s="726">
        <v>221200</v>
      </c>
      <c r="G132" s="726">
        <v>236000</v>
      </c>
      <c r="H132" s="726">
        <v>248200</v>
      </c>
      <c r="I132" s="726">
        <v>257200</v>
      </c>
      <c r="J132" s="726">
        <v>269900</v>
      </c>
      <c r="K132" s="726">
        <v>276500</v>
      </c>
      <c r="L132" s="726">
        <v>286900</v>
      </c>
      <c r="M132" s="726">
        <v>287700</v>
      </c>
    </row>
    <row r="133" spans="2:13" ht="15" thickBot="1">
      <c r="B133" s="84" t="s">
        <v>117</v>
      </c>
      <c r="C133" s="1143">
        <v>192900</v>
      </c>
      <c r="D133" s="1140">
        <v>201500</v>
      </c>
      <c r="E133" s="726">
        <v>206100</v>
      </c>
      <c r="F133" s="726">
        <v>222700</v>
      </c>
      <c r="G133" s="726">
        <v>234100</v>
      </c>
      <c r="H133" s="726">
        <v>240200</v>
      </c>
      <c r="I133" s="726">
        <v>251500</v>
      </c>
      <c r="J133" s="726">
        <v>270900</v>
      </c>
      <c r="K133" s="726">
        <v>283000</v>
      </c>
      <c r="L133" s="726">
        <v>304700</v>
      </c>
      <c r="M133" s="726">
        <v>314300</v>
      </c>
    </row>
    <row r="134" spans="2:13" ht="15" thickBot="1">
      <c r="B134" s="84" t="s">
        <v>1248</v>
      </c>
      <c r="C134" s="1143">
        <v>72100</v>
      </c>
      <c r="D134" s="1140">
        <v>75400</v>
      </c>
      <c r="E134" s="726">
        <v>81700</v>
      </c>
      <c r="F134" s="726">
        <v>85200</v>
      </c>
      <c r="G134" s="726">
        <v>88900</v>
      </c>
      <c r="H134" s="726">
        <v>86900</v>
      </c>
      <c r="I134" s="726">
        <v>88600</v>
      </c>
      <c r="J134" s="726">
        <v>89100</v>
      </c>
      <c r="K134" s="726">
        <v>85200</v>
      </c>
      <c r="L134" s="726">
        <v>81700</v>
      </c>
      <c r="M134" s="726" t="s">
        <v>59</v>
      </c>
    </row>
    <row r="135" spans="2:13" ht="15" thickBot="1">
      <c r="B135" s="84" t="s">
        <v>1249</v>
      </c>
      <c r="C135" s="1143">
        <v>116700</v>
      </c>
      <c r="D135" s="1140">
        <v>122400</v>
      </c>
      <c r="E135" s="726">
        <v>118000</v>
      </c>
      <c r="F135" s="726">
        <v>119000</v>
      </c>
      <c r="G135" s="726">
        <v>121700</v>
      </c>
      <c r="H135" s="726">
        <v>124900</v>
      </c>
      <c r="I135" s="726">
        <v>122700</v>
      </c>
      <c r="J135" s="726">
        <v>126300</v>
      </c>
      <c r="K135" s="726">
        <v>117300</v>
      </c>
      <c r="L135" s="726">
        <v>118600</v>
      </c>
      <c r="M135" s="726">
        <v>125200</v>
      </c>
    </row>
    <row r="136" spans="2:13" ht="15" thickBot="1">
      <c r="B136" s="84" t="s">
        <v>1250</v>
      </c>
      <c r="C136" s="1145" t="s">
        <v>59</v>
      </c>
      <c r="D136" s="1168" t="s">
        <v>59</v>
      </c>
      <c r="E136" s="726">
        <v>13200</v>
      </c>
      <c r="F136" s="726">
        <v>14600</v>
      </c>
      <c r="G136" s="726">
        <v>15300</v>
      </c>
      <c r="H136" s="726">
        <v>15400</v>
      </c>
      <c r="I136" s="726">
        <v>16000</v>
      </c>
      <c r="J136" s="726">
        <v>17800</v>
      </c>
      <c r="K136" s="726">
        <v>17900</v>
      </c>
      <c r="L136" s="726">
        <v>19100</v>
      </c>
      <c r="M136" s="726">
        <v>19700</v>
      </c>
    </row>
    <row r="137" spans="2:13" ht="15" thickBot="1">
      <c r="B137" s="84" t="s">
        <v>201</v>
      </c>
      <c r="C137" s="1143">
        <v>56700</v>
      </c>
      <c r="D137" s="1140">
        <v>56200</v>
      </c>
      <c r="E137" s="726">
        <v>54300</v>
      </c>
      <c r="F137" s="726">
        <v>57500</v>
      </c>
      <c r="G137" s="726">
        <v>54700</v>
      </c>
      <c r="H137" s="726">
        <v>55500</v>
      </c>
      <c r="I137" s="726">
        <v>55200</v>
      </c>
      <c r="J137" s="726">
        <v>57900</v>
      </c>
      <c r="K137" s="726">
        <v>60300</v>
      </c>
      <c r="L137" s="726">
        <v>59600</v>
      </c>
      <c r="M137" s="726">
        <v>63100</v>
      </c>
    </row>
    <row r="138" spans="2:13" ht="15" thickBot="1">
      <c r="B138" s="84" t="s">
        <v>116</v>
      </c>
      <c r="C138" s="1143">
        <v>119900</v>
      </c>
      <c r="D138" s="1140">
        <v>122600</v>
      </c>
      <c r="E138" s="726">
        <v>127000</v>
      </c>
      <c r="F138" s="726">
        <v>136600</v>
      </c>
      <c r="G138" s="726">
        <v>143400</v>
      </c>
      <c r="H138" s="726">
        <v>157700</v>
      </c>
      <c r="I138" s="726">
        <v>165300</v>
      </c>
      <c r="J138" s="726">
        <v>163000</v>
      </c>
      <c r="K138" s="726">
        <v>165000</v>
      </c>
      <c r="L138" s="726">
        <v>165800</v>
      </c>
      <c r="M138" s="726">
        <v>161700</v>
      </c>
    </row>
    <row r="139" spans="2:13" ht="15" thickBot="1">
      <c r="B139" s="84" t="s">
        <v>119</v>
      </c>
      <c r="C139" s="1143">
        <v>86300</v>
      </c>
      <c r="D139" s="1140">
        <v>91600</v>
      </c>
      <c r="E139" s="726">
        <v>91900</v>
      </c>
      <c r="F139" s="726">
        <v>121800</v>
      </c>
      <c r="G139" s="726">
        <v>113100</v>
      </c>
      <c r="H139" s="726">
        <v>122800</v>
      </c>
      <c r="I139" s="726">
        <v>135300</v>
      </c>
      <c r="J139" s="726">
        <v>132600</v>
      </c>
      <c r="K139" s="726">
        <v>137600</v>
      </c>
      <c r="L139" s="726">
        <v>141200</v>
      </c>
      <c r="M139" s="726">
        <v>146500</v>
      </c>
    </row>
    <row r="140" spans="2:13" ht="15" thickBot="1">
      <c r="B140" s="84" t="s">
        <v>1251</v>
      </c>
      <c r="C140" s="1143">
        <v>202300</v>
      </c>
      <c r="D140" s="1140">
        <v>202500</v>
      </c>
      <c r="E140" s="726">
        <v>206100</v>
      </c>
      <c r="F140" s="726">
        <v>205900</v>
      </c>
      <c r="G140" s="726">
        <v>203100</v>
      </c>
      <c r="H140" s="726">
        <v>206400</v>
      </c>
      <c r="I140" s="726">
        <v>207300</v>
      </c>
      <c r="J140" s="726">
        <v>211700</v>
      </c>
      <c r="K140" s="726">
        <v>209500</v>
      </c>
      <c r="L140" s="726">
        <v>214300</v>
      </c>
      <c r="M140" s="726">
        <v>217900</v>
      </c>
    </row>
    <row r="141" spans="2:13" ht="15" thickBot="1">
      <c r="B141" s="84" t="s">
        <v>1252</v>
      </c>
      <c r="C141" s="1143">
        <v>180400</v>
      </c>
      <c r="D141" s="1140">
        <v>188600</v>
      </c>
      <c r="E141" s="726">
        <v>191000</v>
      </c>
      <c r="F141" s="726">
        <v>205000</v>
      </c>
      <c r="G141" s="726">
        <v>209600</v>
      </c>
      <c r="H141" s="726">
        <v>221200</v>
      </c>
      <c r="I141" s="726">
        <v>226500</v>
      </c>
      <c r="J141" s="726">
        <v>229600</v>
      </c>
      <c r="K141" s="726">
        <v>233600</v>
      </c>
      <c r="L141" s="726">
        <v>244100</v>
      </c>
      <c r="M141" s="726">
        <v>247300</v>
      </c>
    </row>
    <row r="142" spans="2:13" ht="15" thickBot="1">
      <c r="B142" s="84" t="s">
        <v>1253</v>
      </c>
      <c r="C142" s="1143">
        <v>72300</v>
      </c>
      <c r="D142" s="1140">
        <v>74200</v>
      </c>
      <c r="E142" s="726">
        <v>73700</v>
      </c>
      <c r="F142" s="726">
        <v>76300</v>
      </c>
      <c r="G142" s="726">
        <v>85600</v>
      </c>
      <c r="H142" s="726">
        <v>91100</v>
      </c>
      <c r="I142" s="726">
        <v>95400</v>
      </c>
      <c r="J142" s="726">
        <v>102000</v>
      </c>
      <c r="K142" s="726">
        <v>108100</v>
      </c>
      <c r="L142" s="726">
        <v>112100</v>
      </c>
      <c r="M142" s="726">
        <v>126600</v>
      </c>
    </row>
    <row r="143" spans="2:13" ht="15" thickBot="1">
      <c r="B143" s="84" t="s">
        <v>492</v>
      </c>
      <c r="C143" s="1143">
        <v>534400</v>
      </c>
      <c r="D143" s="1140">
        <v>554400</v>
      </c>
      <c r="E143" s="726">
        <v>565600</v>
      </c>
      <c r="F143" s="726">
        <v>579000</v>
      </c>
      <c r="G143" s="726">
        <v>598400</v>
      </c>
      <c r="H143" s="726">
        <v>609600</v>
      </c>
      <c r="I143" s="726">
        <v>649300</v>
      </c>
      <c r="J143" s="726">
        <v>666000</v>
      </c>
      <c r="K143" s="726">
        <v>692400</v>
      </c>
      <c r="L143" s="726">
        <v>710900</v>
      </c>
      <c r="M143" s="726">
        <v>714500</v>
      </c>
    </row>
    <row r="144" spans="2:13">
      <c r="B144" s="1045" t="s">
        <v>2053</v>
      </c>
    </row>
    <row r="145" spans="2:12">
      <c r="B145" s="740" t="s">
        <v>2054</v>
      </c>
    </row>
    <row r="147" spans="2:12" ht="15.6">
      <c r="B147" s="83" t="s">
        <v>1257</v>
      </c>
    </row>
    <row r="148" spans="2:12">
      <c r="B148" s="93" t="s">
        <v>1273</v>
      </c>
    </row>
    <row r="149" spans="2:12">
      <c r="B149" s="21"/>
      <c r="C149" s="141">
        <v>2021</v>
      </c>
      <c r="D149" s="141" t="s">
        <v>505</v>
      </c>
      <c r="E149" s="141" t="s">
        <v>471</v>
      </c>
      <c r="F149" s="141" t="s">
        <v>453</v>
      </c>
      <c r="G149" s="141">
        <v>2017</v>
      </c>
      <c r="H149" s="141">
        <v>2016</v>
      </c>
      <c r="I149" s="141">
        <v>2015</v>
      </c>
      <c r="J149" s="21">
        <v>2014</v>
      </c>
      <c r="K149" s="141">
        <v>2013</v>
      </c>
      <c r="L149" s="141">
        <v>2012</v>
      </c>
    </row>
    <row r="150" spans="2:12" ht="15" thickBot="1">
      <c r="B150" s="84" t="s">
        <v>638</v>
      </c>
      <c r="C150" s="734">
        <v>4329</v>
      </c>
      <c r="D150" s="726">
        <v>3937</v>
      </c>
      <c r="E150" s="726">
        <v>4575</v>
      </c>
      <c r="F150" s="726">
        <v>5432</v>
      </c>
      <c r="G150" s="726">
        <v>5689</v>
      </c>
      <c r="H150" s="726">
        <v>5924</v>
      </c>
      <c r="I150" s="726">
        <v>5885</v>
      </c>
      <c r="J150" s="726">
        <v>6922</v>
      </c>
      <c r="K150" s="726">
        <v>7000</v>
      </c>
      <c r="L150" s="726">
        <v>7413</v>
      </c>
    </row>
    <row r="151" spans="2:12" ht="15" thickBot="1">
      <c r="B151" s="84" t="s">
        <v>1259</v>
      </c>
      <c r="C151" s="734">
        <v>4135</v>
      </c>
      <c r="D151" s="726">
        <v>3818</v>
      </c>
      <c r="E151" s="726">
        <v>4571</v>
      </c>
      <c r="F151" s="726">
        <v>6028</v>
      </c>
      <c r="G151" s="726">
        <v>6198</v>
      </c>
      <c r="H151" s="726">
        <v>6412</v>
      </c>
      <c r="I151" s="726">
        <v>6561</v>
      </c>
      <c r="J151" s="726">
        <v>6853</v>
      </c>
      <c r="K151" s="726">
        <v>7289</v>
      </c>
      <c r="L151" s="726">
        <v>7602</v>
      </c>
    </row>
    <row r="152" spans="2:12" ht="15" thickBot="1">
      <c r="B152" s="84" t="s">
        <v>1260</v>
      </c>
      <c r="C152" s="734">
        <v>628</v>
      </c>
      <c r="D152" s="726">
        <v>563</v>
      </c>
      <c r="E152" s="726">
        <v>617</v>
      </c>
      <c r="F152" s="726">
        <v>756</v>
      </c>
      <c r="G152" s="726">
        <v>813</v>
      </c>
      <c r="H152" s="726">
        <v>876</v>
      </c>
      <c r="I152" s="726">
        <v>928</v>
      </c>
      <c r="J152" s="726">
        <v>997</v>
      </c>
      <c r="K152" s="726">
        <v>1177</v>
      </c>
      <c r="L152" s="726">
        <v>1375</v>
      </c>
    </row>
    <row r="153" spans="2:12" ht="15" thickBot="1">
      <c r="B153" s="84" t="s">
        <v>1274</v>
      </c>
      <c r="C153" s="734">
        <v>3483</v>
      </c>
      <c r="D153" s="726">
        <v>3385</v>
      </c>
      <c r="E153" s="726">
        <v>3642</v>
      </c>
      <c r="F153" s="726">
        <v>3945</v>
      </c>
      <c r="G153" s="726">
        <v>4084</v>
      </c>
      <c r="H153" s="726">
        <v>4116</v>
      </c>
      <c r="I153" s="726">
        <v>4431</v>
      </c>
      <c r="J153" s="726">
        <v>4943</v>
      </c>
      <c r="K153" s="726">
        <v>5553</v>
      </c>
      <c r="L153" s="726">
        <v>5368</v>
      </c>
    </row>
    <row r="154" spans="2:12" ht="15" thickBot="1">
      <c r="B154" s="84" t="s">
        <v>1220</v>
      </c>
      <c r="C154" s="734">
        <v>1956</v>
      </c>
      <c r="D154" s="726">
        <v>2167</v>
      </c>
      <c r="E154" s="726">
        <v>1570</v>
      </c>
      <c r="F154" s="726">
        <v>1828</v>
      </c>
      <c r="G154" s="726">
        <v>1633</v>
      </c>
      <c r="H154" s="726">
        <v>1699</v>
      </c>
      <c r="I154" s="726">
        <v>1795</v>
      </c>
      <c r="J154" s="726">
        <v>2162</v>
      </c>
      <c r="K154" s="726">
        <v>2603</v>
      </c>
      <c r="L154" s="726">
        <v>2260</v>
      </c>
    </row>
    <row r="155" spans="2:12" ht="15" thickBot="1">
      <c r="B155" s="84" t="s">
        <v>1262</v>
      </c>
      <c r="C155" s="734">
        <v>5207</v>
      </c>
      <c r="D155" s="726">
        <v>4011</v>
      </c>
      <c r="E155" s="726">
        <v>3406</v>
      </c>
      <c r="F155" s="726">
        <v>23904</v>
      </c>
      <c r="G155" s="726">
        <v>21208</v>
      </c>
      <c r="H155" s="726">
        <v>24861</v>
      </c>
      <c r="I155" s="726">
        <v>29328</v>
      </c>
      <c r="J155" s="726">
        <v>29897</v>
      </c>
      <c r="K155" s="726">
        <v>28548</v>
      </c>
      <c r="L155" s="726">
        <v>30174</v>
      </c>
    </row>
    <row r="156" spans="2:12">
      <c r="B156" s="1045" t="s">
        <v>2053</v>
      </c>
    </row>
    <row r="157" spans="2:12">
      <c r="B157" s="740" t="s">
        <v>2055</v>
      </c>
    </row>
    <row r="158" spans="2:12">
      <c r="B158" s="87" t="s">
        <v>1940</v>
      </c>
    </row>
    <row r="163" spans="2:9">
      <c r="B163" t="s">
        <v>1275</v>
      </c>
    </row>
    <row r="164" spans="2:9">
      <c r="B164">
        <v>2015</v>
      </c>
    </row>
    <row r="165" spans="2:9" ht="15" thickBot="1">
      <c r="B165" s="84" t="s">
        <v>115</v>
      </c>
      <c r="C165">
        <v>69.2</v>
      </c>
    </row>
    <row r="166" spans="2:9" ht="15" thickBot="1">
      <c r="B166" s="84" t="s">
        <v>114</v>
      </c>
      <c r="C166">
        <v>21.7</v>
      </c>
    </row>
    <row r="167" spans="2:9" ht="15" thickBot="1">
      <c r="B167" s="84" t="s">
        <v>113</v>
      </c>
      <c r="C167">
        <v>19</v>
      </c>
    </row>
    <row r="168" spans="2:9" ht="15" thickBot="1">
      <c r="B168" s="84" t="s">
        <v>117</v>
      </c>
      <c r="C168">
        <v>12.6</v>
      </c>
    </row>
    <row r="169" spans="2:9" ht="15" thickBot="1">
      <c r="B169" s="84" t="s">
        <v>126</v>
      </c>
      <c r="C169">
        <v>11.7</v>
      </c>
    </row>
    <row r="170" spans="2:9" ht="15" thickBot="1">
      <c r="B170" s="84" t="s">
        <v>1276</v>
      </c>
      <c r="C170">
        <v>15.1</v>
      </c>
    </row>
    <row r="171" spans="2:9" ht="15" thickBot="1">
      <c r="B171" s="84" t="s">
        <v>978</v>
      </c>
      <c r="C171">
        <v>68.900000000000006</v>
      </c>
    </row>
    <row r="172" spans="2:9" ht="15" thickBot="1">
      <c r="B172" s="84" t="s">
        <v>1250</v>
      </c>
      <c r="C172">
        <v>33.299999999999997</v>
      </c>
    </row>
    <row r="173" spans="2:9" ht="15" thickBot="1">
      <c r="B173" s="84" t="s">
        <v>1277</v>
      </c>
      <c r="C173">
        <v>8.6999999999999993</v>
      </c>
    </row>
    <row r="174" spans="2:9" ht="21" thickBot="1">
      <c r="B174" s="84" t="s">
        <v>1278</v>
      </c>
      <c r="C174">
        <v>16.8</v>
      </c>
      <c r="I174">
        <v>16.8</v>
      </c>
    </row>
    <row r="175" spans="2:9" ht="15" thickBot="1">
      <c r="B175" s="84" t="s">
        <v>1279</v>
      </c>
      <c r="C175">
        <v>11.3</v>
      </c>
      <c r="I175">
        <v>22.6</v>
      </c>
    </row>
    <row r="176" spans="2:9" ht="15" thickBot="1">
      <c r="B176" s="84" t="s">
        <v>1280</v>
      </c>
      <c r="C176">
        <v>25.8</v>
      </c>
      <c r="I176">
        <v>3.2</v>
      </c>
    </row>
    <row r="177" spans="2:16" ht="15" thickBot="1">
      <c r="B177" s="84" t="s">
        <v>1281</v>
      </c>
      <c r="C177">
        <v>30.2</v>
      </c>
      <c r="I177">
        <f>SUM(I174:I176)</f>
        <v>42.600000000000009</v>
      </c>
    </row>
    <row r="178" spans="2:16" ht="15" thickBot="1">
      <c r="B178" s="84" t="s">
        <v>1282</v>
      </c>
      <c r="C178">
        <v>22.6</v>
      </c>
    </row>
    <row r="179" spans="2:16" ht="15" thickBot="1">
      <c r="B179" s="84" t="s">
        <v>1283</v>
      </c>
      <c r="C179">
        <v>7.3</v>
      </c>
    </row>
    <row r="180" spans="2:16" ht="15" thickBot="1">
      <c r="B180" s="84" t="s">
        <v>1158</v>
      </c>
      <c r="C180">
        <v>3.2</v>
      </c>
    </row>
    <row r="181" spans="2:16" ht="15" thickBot="1">
      <c r="B181" s="84" t="s">
        <v>140</v>
      </c>
      <c r="C181">
        <v>2.7</v>
      </c>
    </row>
    <row r="183" spans="2:16">
      <c r="C183">
        <f>SUM(C165:C182)</f>
        <v>380.1</v>
      </c>
      <c r="H183" s="193" t="s">
        <v>1284</v>
      </c>
    </row>
    <row r="187" spans="2:16">
      <c r="B187" t="s">
        <v>1285</v>
      </c>
      <c r="C187">
        <v>95.9</v>
      </c>
      <c r="J187" s="98"/>
    </row>
    <row r="188" spans="2:16">
      <c r="B188" t="s">
        <v>134</v>
      </c>
      <c r="C188">
        <v>218.2</v>
      </c>
    </row>
    <row r="191" spans="2:16" ht="15.6">
      <c r="B191" s="86" t="s">
        <v>588</v>
      </c>
    </row>
    <row r="192" spans="2:16">
      <c r="B192" s="260" t="s">
        <v>582</v>
      </c>
      <c r="C192" s="267"/>
      <c r="D192" s="267"/>
      <c r="E192" s="267"/>
      <c r="F192" s="267"/>
      <c r="G192" s="267"/>
      <c r="H192" s="267"/>
      <c r="I192" s="267"/>
      <c r="J192" s="267"/>
      <c r="K192" s="267"/>
      <c r="L192" s="267"/>
      <c r="M192" s="267"/>
      <c r="N192" s="267"/>
      <c r="O192" s="267"/>
      <c r="P192" s="267"/>
    </row>
    <row r="193" spans="2:15">
      <c r="B193" s="153"/>
      <c r="C193" s="153">
        <v>2024</v>
      </c>
      <c r="D193" s="153">
        <v>2023</v>
      </c>
      <c r="E193" s="741">
        <v>2022</v>
      </c>
      <c r="F193" s="741">
        <v>2021</v>
      </c>
      <c r="G193" s="741">
        <v>2020</v>
      </c>
      <c r="H193" s="741">
        <v>2019</v>
      </c>
      <c r="I193" s="741">
        <v>2018</v>
      </c>
      <c r="J193" s="741">
        <v>2017</v>
      </c>
      <c r="K193" s="741">
        <v>2016</v>
      </c>
      <c r="L193" s="742">
        <v>2015</v>
      </c>
      <c r="M193" s="741">
        <v>2014</v>
      </c>
      <c r="N193" s="983"/>
      <c r="O193" s="1092"/>
    </row>
    <row r="194" spans="2:15" ht="15" thickBot="1">
      <c r="B194" s="263" t="s">
        <v>583</v>
      </c>
      <c r="C194" s="1150">
        <v>288588</v>
      </c>
      <c r="D194" s="1363">
        <v>293723</v>
      </c>
      <c r="E194" s="44">
        <v>315137</v>
      </c>
      <c r="F194" s="44">
        <v>291373</v>
      </c>
      <c r="G194" s="44">
        <v>284446</v>
      </c>
      <c r="H194" s="44">
        <v>321940</v>
      </c>
      <c r="I194" s="743">
        <v>308962</v>
      </c>
      <c r="J194" s="743">
        <v>308577</v>
      </c>
      <c r="K194" s="743">
        <v>313847</v>
      </c>
      <c r="L194" s="743">
        <v>291648</v>
      </c>
      <c r="M194" s="743">
        <v>266311</v>
      </c>
      <c r="N194" s="746"/>
      <c r="O194" s="746"/>
    </row>
    <row r="195" spans="2:15" ht="15" thickBot="1">
      <c r="B195" s="268" t="s">
        <v>585</v>
      </c>
      <c r="C195" s="1150">
        <v>86387</v>
      </c>
      <c r="D195" s="1363">
        <v>96777</v>
      </c>
      <c r="E195" s="44">
        <v>109481</v>
      </c>
      <c r="F195" s="44">
        <v>105363</v>
      </c>
      <c r="G195" s="44">
        <v>99351</v>
      </c>
      <c r="H195" s="44">
        <v>102077</v>
      </c>
      <c r="I195" s="744">
        <v>94657</v>
      </c>
      <c r="J195" s="744">
        <v>96095</v>
      </c>
      <c r="K195" s="744">
        <v>94418</v>
      </c>
      <c r="L195" s="745">
        <v>86509</v>
      </c>
      <c r="M195" s="745">
        <v>78141</v>
      </c>
      <c r="N195" s="747"/>
      <c r="O195" s="747"/>
    </row>
    <row r="196" spans="2:15" ht="15" thickBot="1">
      <c r="B196" s="268" t="s">
        <v>733</v>
      </c>
      <c r="C196" s="1150">
        <v>54185</v>
      </c>
      <c r="D196" s="1363">
        <v>60514</v>
      </c>
      <c r="E196" s="44">
        <v>67824</v>
      </c>
      <c r="F196" s="44">
        <v>60695</v>
      </c>
      <c r="G196" s="44">
        <v>57506</v>
      </c>
      <c r="H196" s="44">
        <v>65622</v>
      </c>
      <c r="I196" s="744">
        <v>60850</v>
      </c>
      <c r="J196" s="744">
        <v>62140</v>
      </c>
      <c r="K196" s="744">
        <v>66213</v>
      </c>
      <c r="L196" s="745">
        <v>64217</v>
      </c>
      <c r="M196" s="745">
        <v>55455</v>
      </c>
      <c r="N196" s="747"/>
      <c r="O196" s="747"/>
    </row>
    <row r="197" spans="2:15">
      <c r="B197" s="154" t="s">
        <v>584</v>
      </c>
      <c r="C197" s="1157">
        <v>46449</v>
      </c>
      <c r="D197" s="1364">
        <v>48528</v>
      </c>
      <c r="E197" s="39">
        <v>51577</v>
      </c>
      <c r="F197" s="39">
        <v>46561</v>
      </c>
      <c r="G197" s="39">
        <v>43888</v>
      </c>
      <c r="H197" s="39">
        <v>47027</v>
      </c>
      <c r="I197" s="746">
        <v>49098</v>
      </c>
      <c r="J197" s="746">
        <v>51653</v>
      </c>
      <c r="K197" s="746">
        <v>53144</v>
      </c>
      <c r="L197" s="747">
        <v>55891</v>
      </c>
      <c r="M197" s="747">
        <v>55705</v>
      </c>
      <c r="N197" s="747"/>
      <c r="O197" s="747"/>
    </row>
    <row r="198" spans="2:15">
      <c r="B198" s="261" t="s">
        <v>52</v>
      </c>
      <c r="C198" s="266">
        <f>SUM(C194:C197)</f>
        <v>475609</v>
      </c>
      <c r="D198" s="266">
        <f>SUM(D194:D197)</f>
        <v>499542</v>
      </c>
      <c r="E198" s="266">
        <v>544019</v>
      </c>
      <c r="F198" s="266">
        <v>503291</v>
      </c>
      <c r="G198" s="266">
        <v>485191</v>
      </c>
      <c r="H198" s="266">
        <v>536666</v>
      </c>
      <c r="I198" s="748">
        <v>513567</v>
      </c>
      <c r="J198" s="748">
        <v>518465</v>
      </c>
      <c r="K198" s="748">
        <v>527622</v>
      </c>
      <c r="L198" s="748">
        <v>498265</v>
      </c>
      <c r="M198" s="748">
        <v>455612</v>
      </c>
      <c r="N198" s="756"/>
      <c r="O198" s="756"/>
    </row>
    <row r="199" spans="2:15">
      <c r="B199" s="41" t="s">
        <v>2019</v>
      </c>
      <c r="C199" s="23"/>
      <c r="D199" s="23"/>
      <c r="E199" s="23"/>
      <c r="F199" s="23"/>
      <c r="G199" s="23"/>
      <c r="H199" s="23"/>
      <c r="I199" s="23"/>
      <c r="J199" s="23"/>
      <c r="K199" s="267"/>
    </row>
    <row r="200" spans="2:15">
      <c r="C200" s="23"/>
      <c r="D200" s="23"/>
      <c r="E200" s="23"/>
    </row>
    <row r="202" spans="2:15" ht="15.6">
      <c r="B202" s="86" t="s">
        <v>581</v>
      </c>
    </row>
    <row r="203" spans="2:15">
      <c r="B203" s="290" t="s">
        <v>1286</v>
      </c>
    </row>
    <row r="204" spans="2:15">
      <c r="B204" s="271"/>
      <c r="C204" s="271">
        <v>2024</v>
      </c>
      <c r="D204" s="271">
        <v>2023</v>
      </c>
      <c r="E204" s="271">
        <v>2022</v>
      </c>
      <c r="F204" s="271">
        <v>2021</v>
      </c>
      <c r="G204" s="271">
        <v>2020</v>
      </c>
      <c r="H204" s="271">
        <v>2019</v>
      </c>
      <c r="I204" s="271">
        <v>2018</v>
      </c>
      <c r="J204" s="271">
        <v>2017</v>
      </c>
      <c r="K204" s="271">
        <v>2016</v>
      </c>
      <c r="L204" s="271">
        <v>2015</v>
      </c>
      <c r="M204" s="271">
        <v>2014</v>
      </c>
      <c r="N204" s="982"/>
      <c r="O204" s="982"/>
    </row>
    <row r="205" spans="2:15" ht="15" thickBot="1">
      <c r="B205" s="749" t="s">
        <v>35</v>
      </c>
      <c r="C205" s="1173">
        <v>67336</v>
      </c>
      <c r="D205" s="1380">
        <v>72426</v>
      </c>
      <c r="E205" s="44">
        <v>84232</v>
      </c>
      <c r="F205" s="44">
        <v>70479</v>
      </c>
      <c r="G205" s="44">
        <v>66328</v>
      </c>
      <c r="H205" s="44">
        <v>70575</v>
      </c>
      <c r="I205" s="512">
        <v>71905</v>
      </c>
      <c r="J205" s="512">
        <v>73867</v>
      </c>
      <c r="K205" s="512">
        <v>70238</v>
      </c>
      <c r="L205" s="512">
        <v>69188</v>
      </c>
      <c r="M205" s="512">
        <v>61799</v>
      </c>
      <c r="N205" s="513"/>
      <c r="O205" s="513"/>
    </row>
    <row r="206" spans="2:15" ht="15" thickBot="1">
      <c r="B206" s="749" t="s">
        <v>485</v>
      </c>
      <c r="C206" s="1173">
        <v>41683</v>
      </c>
      <c r="D206" s="1380">
        <v>43472</v>
      </c>
      <c r="E206" s="44">
        <v>46221</v>
      </c>
      <c r="F206" s="44">
        <v>53493</v>
      </c>
      <c r="G206" s="44">
        <v>61739</v>
      </c>
      <c r="H206" s="44">
        <v>75488</v>
      </c>
      <c r="I206" s="512">
        <v>67049</v>
      </c>
      <c r="J206" s="512">
        <v>67087</v>
      </c>
      <c r="K206" s="512">
        <v>69518</v>
      </c>
      <c r="L206" s="512">
        <v>65457</v>
      </c>
      <c r="M206" s="512">
        <v>66046</v>
      </c>
      <c r="N206" s="513"/>
      <c r="O206" s="513"/>
    </row>
    <row r="207" spans="2:15" ht="15" thickBot="1">
      <c r="B207" s="749" t="s">
        <v>27</v>
      </c>
      <c r="C207" s="1173">
        <v>53579</v>
      </c>
      <c r="D207" s="1380">
        <v>50788</v>
      </c>
      <c r="E207" s="44">
        <v>49616</v>
      </c>
      <c r="F207" s="44">
        <v>43286</v>
      </c>
      <c r="G207" s="44">
        <v>39986</v>
      </c>
      <c r="H207" s="44">
        <v>40516</v>
      </c>
      <c r="I207" s="512">
        <v>38646</v>
      </c>
      <c r="J207" s="512">
        <v>36670</v>
      </c>
      <c r="K207" s="512">
        <v>37524</v>
      </c>
      <c r="L207" s="512">
        <v>32037</v>
      </c>
      <c r="M207" s="512">
        <v>27371</v>
      </c>
      <c r="N207" s="513"/>
      <c r="O207" s="513"/>
    </row>
    <row r="208" spans="2:15" ht="15" thickBot="1">
      <c r="B208" s="749" t="s">
        <v>1622</v>
      </c>
      <c r="C208" s="1173">
        <v>43777</v>
      </c>
      <c r="D208" s="1380">
        <v>39614</v>
      </c>
      <c r="E208" s="44">
        <v>39994</v>
      </c>
      <c r="F208" s="44">
        <v>34675</v>
      </c>
      <c r="G208" s="44">
        <v>31127</v>
      </c>
      <c r="H208" s="44">
        <v>30583</v>
      </c>
      <c r="I208" s="512">
        <v>26732</v>
      </c>
      <c r="J208" s="512">
        <v>26057</v>
      </c>
      <c r="K208" s="512">
        <v>27495</v>
      </c>
      <c r="L208" s="512">
        <v>24194</v>
      </c>
      <c r="M208" s="512">
        <v>18814</v>
      </c>
      <c r="N208" s="513"/>
      <c r="O208" s="513"/>
    </row>
    <row r="209" spans="2:16" ht="15" thickBot="1">
      <c r="B209" s="749" t="s">
        <v>28</v>
      </c>
      <c r="C209" s="1173">
        <v>31411</v>
      </c>
      <c r="D209" s="1380">
        <v>33717</v>
      </c>
      <c r="E209" s="44">
        <v>33841</v>
      </c>
      <c r="F209" s="44">
        <v>31545</v>
      </c>
      <c r="G209" s="44">
        <v>29103</v>
      </c>
      <c r="H209" s="44">
        <v>33540</v>
      </c>
      <c r="I209" s="512">
        <v>32187</v>
      </c>
      <c r="J209" s="512">
        <v>31982</v>
      </c>
      <c r="K209" s="512">
        <v>30980</v>
      </c>
      <c r="L209" s="512">
        <v>26742</v>
      </c>
      <c r="M209" s="512">
        <v>25442</v>
      </c>
      <c r="N209" s="513"/>
      <c r="O209" s="513"/>
    </row>
    <row r="210" spans="2:16" ht="15" thickBot="1">
      <c r="B210" s="749" t="s">
        <v>31</v>
      </c>
      <c r="C210" s="1173">
        <v>14570</v>
      </c>
      <c r="D210" s="1380">
        <v>14972</v>
      </c>
      <c r="E210" s="44">
        <v>16227</v>
      </c>
      <c r="F210" s="44">
        <v>14879</v>
      </c>
      <c r="G210" s="44">
        <v>15559</v>
      </c>
      <c r="H210" s="44">
        <v>18994</v>
      </c>
      <c r="I210" s="512">
        <v>17955</v>
      </c>
      <c r="J210" s="512">
        <v>18849</v>
      </c>
      <c r="K210" s="512">
        <v>22949</v>
      </c>
      <c r="L210" s="512">
        <v>22403</v>
      </c>
      <c r="M210" s="512">
        <v>20460</v>
      </c>
      <c r="N210" s="513"/>
      <c r="O210" s="513"/>
    </row>
    <row r="211" spans="2:16" ht="15" thickBot="1">
      <c r="B211" s="749" t="s">
        <v>37</v>
      </c>
      <c r="C211" s="1173">
        <v>10002</v>
      </c>
      <c r="D211" s="1380">
        <v>11409</v>
      </c>
      <c r="E211" s="44">
        <v>12632</v>
      </c>
      <c r="F211" s="44">
        <v>10646</v>
      </c>
      <c r="G211" s="44">
        <v>11378</v>
      </c>
      <c r="H211" s="44">
        <v>12525</v>
      </c>
      <c r="I211" s="512">
        <v>13927</v>
      </c>
      <c r="J211" s="512">
        <v>13250</v>
      </c>
      <c r="K211" s="512">
        <v>14773</v>
      </c>
      <c r="L211" s="512">
        <v>14186</v>
      </c>
      <c r="M211" s="512">
        <v>10005</v>
      </c>
      <c r="N211" s="513"/>
      <c r="O211" s="513"/>
    </row>
    <row r="212" spans="2:16" ht="15" thickBot="1">
      <c r="B212" s="749" t="s">
        <v>24</v>
      </c>
      <c r="C212" s="1173">
        <v>9697</v>
      </c>
      <c r="D212" s="1380">
        <v>8918</v>
      </c>
      <c r="E212" s="44">
        <v>9686</v>
      </c>
      <c r="F212" s="44">
        <v>8020</v>
      </c>
      <c r="G212" s="44">
        <v>5974</v>
      </c>
      <c r="H212" s="44">
        <v>8507</v>
      </c>
      <c r="I212" s="512">
        <v>8783</v>
      </c>
      <c r="J212" s="512">
        <v>9478</v>
      </c>
      <c r="K212" s="512">
        <v>9440</v>
      </c>
      <c r="L212" s="512">
        <v>8761</v>
      </c>
      <c r="M212" s="512">
        <v>7510</v>
      </c>
      <c r="N212" s="513"/>
      <c r="O212" s="513"/>
    </row>
    <row r="213" spans="2:16" ht="15" thickBot="1">
      <c r="B213" s="749" t="s">
        <v>25</v>
      </c>
      <c r="C213" s="1173">
        <v>4224</v>
      </c>
      <c r="D213" s="1380">
        <v>5106</v>
      </c>
      <c r="E213" s="44">
        <v>6712</v>
      </c>
      <c r="F213" s="44">
        <v>6227</v>
      </c>
      <c r="G213" s="44">
        <v>4432</v>
      </c>
      <c r="H213" s="44">
        <v>5006</v>
      </c>
      <c r="I213" s="512">
        <v>4452</v>
      </c>
      <c r="J213" s="512">
        <v>3552</v>
      </c>
      <c r="K213" s="512">
        <v>3361</v>
      </c>
      <c r="L213" s="512">
        <v>2429</v>
      </c>
      <c r="M213" s="512">
        <v>2227</v>
      </c>
      <c r="N213" s="513"/>
      <c r="O213" s="513"/>
    </row>
    <row r="214" spans="2:16" ht="15" thickBot="1">
      <c r="B214" s="749" t="s">
        <v>23</v>
      </c>
      <c r="C214" s="1173">
        <v>2486</v>
      </c>
      <c r="D214" s="1380">
        <v>3293</v>
      </c>
      <c r="E214" s="44">
        <v>3770</v>
      </c>
      <c r="F214" s="44">
        <v>4372</v>
      </c>
      <c r="G214" s="44">
        <v>5614</v>
      </c>
      <c r="H214" s="44">
        <v>6944</v>
      </c>
      <c r="I214" s="512">
        <v>4127</v>
      </c>
      <c r="J214" s="512">
        <v>2054</v>
      </c>
      <c r="K214" s="512">
        <v>934</v>
      </c>
      <c r="L214" s="512">
        <v>580</v>
      </c>
      <c r="M214" s="512">
        <v>226</v>
      </c>
      <c r="N214" s="513"/>
      <c r="O214" s="513"/>
    </row>
    <row r="215" spans="2:16" ht="15" thickBot="1">
      <c r="B215" s="749" t="s">
        <v>1142</v>
      </c>
      <c r="C215" s="1173">
        <v>1887</v>
      </c>
      <c r="D215" s="1380">
        <v>1948</v>
      </c>
      <c r="E215" s="44">
        <v>2737</v>
      </c>
      <c r="F215" s="44">
        <v>2932</v>
      </c>
      <c r="G215" s="44">
        <v>3143</v>
      </c>
      <c r="H215" s="44">
        <v>4211</v>
      </c>
      <c r="I215" s="512">
        <v>4468</v>
      </c>
      <c r="J215" s="512">
        <v>5275</v>
      </c>
      <c r="K215" s="512">
        <v>6258</v>
      </c>
      <c r="L215" s="512">
        <v>7127</v>
      </c>
      <c r="M215" s="512">
        <v>6240</v>
      </c>
      <c r="N215" s="513"/>
      <c r="O215" s="513"/>
    </row>
    <row r="216" spans="2:16" ht="15" thickBot="1">
      <c r="B216" s="749" t="s">
        <v>327</v>
      </c>
      <c r="C216" s="1173">
        <v>643</v>
      </c>
      <c r="D216" s="1380">
        <v>1006</v>
      </c>
      <c r="E216" s="44">
        <v>1736</v>
      </c>
      <c r="F216" s="44">
        <v>2544</v>
      </c>
      <c r="G216" s="44">
        <v>3081</v>
      </c>
      <c r="H216" s="44">
        <v>3299</v>
      </c>
      <c r="I216" s="512">
        <v>4537</v>
      </c>
      <c r="J216" s="512">
        <v>6090</v>
      </c>
      <c r="K216" s="512">
        <v>6252</v>
      </c>
      <c r="L216" s="512">
        <v>6432</v>
      </c>
      <c r="M216" s="512">
        <v>8298</v>
      </c>
      <c r="N216" s="513"/>
      <c r="O216" s="513"/>
    </row>
    <row r="217" spans="2:16" ht="15" thickBot="1">
      <c r="B217" s="749" t="s">
        <v>26</v>
      </c>
      <c r="C217" s="1173">
        <v>1129</v>
      </c>
      <c r="D217" s="1380">
        <v>1370</v>
      </c>
      <c r="E217" s="44">
        <v>1907</v>
      </c>
      <c r="F217" s="44">
        <v>2445</v>
      </c>
      <c r="G217" s="44">
        <v>2079</v>
      </c>
      <c r="H217" s="44">
        <v>2683</v>
      </c>
      <c r="I217" s="512">
        <v>2959</v>
      </c>
      <c r="J217" s="512">
        <v>2739</v>
      </c>
      <c r="K217" s="512">
        <v>2298</v>
      </c>
      <c r="L217" s="512">
        <v>1677</v>
      </c>
      <c r="M217" s="512">
        <v>1912</v>
      </c>
      <c r="N217" s="513"/>
      <c r="O217" s="513"/>
    </row>
    <row r="218" spans="2:16" ht="15" thickBot="1">
      <c r="B218" s="749" t="s">
        <v>13</v>
      </c>
      <c r="C218" s="1173">
        <v>516</v>
      </c>
      <c r="D218" s="1380">
        <v>701</v>
      </c>
      <c r="E218" s="44">
        <v>1295</v>
      </c>
      <c r="F218" s="44">
        <v>1979</v>
      </c>
      <c r="G218" s="44">
        <v>2042</v>
      </c>
      <c r="H218" s="44">
        <v>3289</v>
      </c>
      <c r="I218" s="512">
        <v>3992</v>
      </c>
      <c r="J218" s="512">
        <v>4567</v>
      </c>
      <c r="K218" s="512">
        <v>5268</v>
      </c>
      <c r="L218" s="512">
        <v>4437</v>
      </c>
      <c r="M218" s="512">
        <v>4518</v>
      </c>
      <c r="N218" s="513"/>
      <c r="O218" s="513"/>
    </row>
    <row r="219" spans="2:16" ht="15" thickBot="1">
      <c r="B219" s="749" t="s">
        <v>1620</v>
      </c>
      <c r="C219" s="1173">
        <v>515</v>
      </c>
      <c r="D219" s="1380">
        <v>598</v>
      </c>
      <c r="E219" s="44">
        <v>746</v>
      </c>
      <c r="F219" s="44">
        <v>712</v>
      </c>
      <c r="G219" s="44">
        <v>435</v>
      </c>
      <c r="H219" s="44">
        <v>1008</v>
      </c>
      <c r="I219" s="512">
        <v>811</v>
      </c>
      <c r="J219" s="512">
        <v>829</v>
      </c>
      <c r="K219" s="512">
        <v>745</v>
      </c>
      <c r="L219" s="512">
        <v>774</v>
      </c>
      <c r="M219" s="512">
        <v>569</v>
      </c>
      <c r="N219" s="513"/>
      <c r="O219" s="513"/>
    </row>
    <row r="220" spans="2:16" ht="15" thickBot="1">
      <c r="B220" s="263" t="s">
        <v>12</v>
      </c>
      <c r="C220" s="1150">
        <v>350</v>
      </c>
      <c r="D220" s="1363">
        <v>480</v>
      </c>
      <c r="E220" s="44">
        <v>726</v>
      </c>
      <c r="F220" s="44">
        <v>647</v>
      </c>
      <c r="G220" s="44">
        <v>584</v>
      </c>
      <c r="H220" s="44">
        <v>784</v>
      </c>
      <c r="I220" s="512">
        <v>860</v>
      </c>
      <c r="J220" s="512">
        <v>571</v>
      </c>
      <c r="K220" s="750">
        <v>323</v>
      </c>
      <c r="L220" s="750">
        <v>262</v>
      </c>
      <c r="M220" s="750">
        <v>278</v>
      </c>
      <c r="N220" s="1093"/>
      <c r="O220" s="1093"/>
    </row>
    <row r="221" spans="2:16" ht="15" thickBot="1">
      <c r="B221" s="749" t="s">
        <v>1287</v>
      </c>
      <c r="C221" s="1173">
        <v>524</v>
      </c>
      <c r="D221" s="1380">
        <v>630</v>
      </c>
      <c r="E221" s="44">
        <v>603</v>
      </c>
      <c r="F221" s="44">
        <v>531</v>
      </c>
      <c r="G221" s="44">
        <v>329</v>
      </c>
      <c r="H221" s="44">
        <v>436</v>
      </c>
      <c r="I221" s="512">
        <v>304</v>
      </c>
      <c r="J221" s="512">
        <v>170</v>
      </c>
      <c r="K221" s="512">
        <v>5</v>
      </c>
      <c r="L221" s="512" t="s">
        <v>59</v>
      </c>
      <c r="M221" s="512">
        <v>23</v>
      </c>
      <c r="N221" s="513"/>
      <c r="O221" s="513"/>
    </row>
    <row r="222" spans="2:16">
      <c r="B222" s="751" t="s">
        <v>129</v>
      </c>
      <c r="C222" s="1418">
        <f>C223-C221-C220-C219-C218-C217-C216-C215-C214-C213-C212-C211-C210-C209-C208-C207-C206-C205</f>
        <v>4259</v>
      </c>
      <c r="D222" s="1381">
        <f>D223-D221-D220-D219-D218-D217-D216-D215-D214-D213-D212-D211-D210-D209-D208-D207-D206-D205</f>
        <v>3275</v>
      </c>
      <c r="E222" s="109">
        <f>E223-E221-E220-E219-E218-E217-E216-E215-E214-E213-E212-E211-E210-E209-E208-E207-E206-E205</f>
        <v>2456</v>
      </c>
      <c r="F222" s="109">
        <f>F223-F221-F220-F219-F218-F217-F216-F215-F214-F213-F212-F211-F210-F209-F208-F207-F206-F205</f>
        <v>1961</v>
      </c>
      <c r="G222" s="109">
        <v>1515</v>
      </c>
      <c r="H222" s="109">
        <v>3550</v>
      </c>
      <c r="I222" s="752">
        <v>5267</v>
      </c>
      <c r="J222" s="752">
        <v>5494</v>
      </c>
      <c r="K222" s="513">
        <v>5488</v>
      </c>
      <c r="L222" s="513">
        <v>4966</v>
      </c>
      <c r="M222" s="513">
        <v>4571</v>
      </c>
      <c r="N222" s="513"/>
      <c r="O222" s="513"/>
    </row>
    <row r="223" spans="2:16">
      <c r="B223" s="271" t="s">
        <v>52</v>
      </c>
      <c r="C223" s="1171">
        <v>288588</v>
      </c>
      <c r="D223" s="1171">
        <v>293723</v>
      </c>
      <c r="E223" s="272">
        <v>315137</v>
      </c>
      <c r="F223" s="272">
        <v>291373</v>
      </c>
      <c r="G223" s="272">
        <v>284446</v>
      </c>
      <c r="H223" s="272">
        <v>321940</v>
      </c>
      <c r="I223" s="272">
        <v>308962</v>
      </c>
      <c r="J223" s="272">
        <v>308577</v>
      </c>
      <c r="K223" s="272">
        <v>313847</v>
      </c>
      <c r="L223" s="272">
        <v>291648</v>
      </c>
      <c r="M223" s="272">
        <v>266311</v>
      </c>
      <c r="N223" s="959"/>
      <c r="O223" s="959"/>
    </row>
    <row r="224" spans="2:16">
      <c r="B224" s="41" t="s">
        <v>2019</v>
      </c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</row>
    <row r="225" spans="2:17">
      <c r="C225" s="23"/>
      <c r="D225" s="23"/>
      <c r="E225" s="23"/>
    </row>
    <row r="226" spans="2:17"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</row>
    <row r="229" spans="2:17" ht="15.6">
      <c r="B229" s="83"/>
      <c r="C229" s="83"/>
      <c r="D229" s="83"/>
      <c r="E229" s="83"/>
      <c r="F229" s="83"/>
      <c r="G229" s="83"/>
      <c r="H229" s="83"/>
      <c r="I229" s="83"/>
      <c r="J229" s="83"/>
      <c r="K229" s="83"/>
      <c r="L229" s="83"/>
      <c r="M229" s="83"/>
    </row>
    <row r="230" spans="2:17" ht="15.6">
      <c r="B230" s="83" t="s">
        <v>588</v>
      </c>
      <c r="C230" s="83"/>
      <c r="D230" s="83"/>
      <c r="E230" s="83"/>
      <c r="F230" s="83"/>
      <c r="G230" s="83"/>
      <c r="H230" s="83"/>
      <c r="I230" s="83"/>
      <c r="J230" s="83"/>
      <c r="K230" s="83"/>
      <c r="L230" s="83"/>
      <c r="M230" s="83"/>
    </row>
    <row r="231" spans="2:17">
      <c r="B231" s="1" t="s">
        <v>1288</v>
      </c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2:17">
      <c r="B232" s="153" t="s">
        <v>590</v>
      </c>
      <c r="C232" s="153">
        <v>2024</v>
      </c>
      <c r="D232" s="153">
        <v>2023</v>
      </c>
      <c r="E232" s="153">
        <v>2022</v>
      </c>
      <c r="F232" s="153">
        <v>2021</v>
      </c>
      <c r="G232" s="153">
        <v>2020</v>
      </c>
      <c r="H232" s="153">
        <v>2019</v>
      </c>
      <c r="I232" s="153">
        <v>2018</v>
      </c>
      <c r="J232" s="153">
        <v>2017</v>
      </c>
      <c r="K232" s="153">
        <v>2016</v>
      </c>
      <c r="L232" s="153">
        <v>2015</v>
      </c>
      <c r="M232" s="153">
        <v>2014</v>
      </c>
      <c r="N232" s="279"/>
      <c r="O232" s="279"/>
      <c r="P232" s="279"/>
      <c r="Q232" s="279"/>
    </row>
    <row r="233" spans="2:17" ht="15" thickBot="1">
      <c r="B233" s="263" t="s">
        <v>27</v>
      </c>
      <c r="C233" s="1150">
        <v>21745</v>
      </c>
      <c r="D233" s="1363">
        <v>22204</v>
      </c>
      <c r="E233" s="44">
        <v>29208</v>
      </c>
      <c r="F233" s="44">
        <v>34335</v>
      </c>
      <c r="G233" s="44">
        <v>32675</v>
      </c>
      <c r="H233" s="44">
        <v>28725</v>
      </c>
      <c r="I233" s="44">
        <v>23958</v>
      </c>
      <c r="J233" s="44">
        <v>21242</v>
      </c>
      <c r="K233" s="44">
        <v>19585</v>
      </c>
      <c r="L233" s="204">
        <v>18315</v>
      </c>
      <c r="M233" s="204">
        <v>15765</v>
      </c>
      <c r="N233" s="309"/>
      <c r="O233" s="309"/>
      <c r="P233" s="309"/>
      <c r="Q233" s="309"/>
    </row>
    <row r="234" spans="2:17" ht="15" thickBot="1">
      <c r="B234" s="263" t="s">
        <v>1684</v>
      </c>
      <c r="C234" s="1150">
        <v>30639</v>
      </c>
      <c r="D234" s="1363">
        <v>32355</v>
      </c>
      <c r="E234" s="44">
        <v>35238</v>
      </c>
      <c r="F234" s="44">
        <v>32299</v>
      </c>
      <c r="G234" s="44">
        <v>32346</v>
      </c>
      <c r="H234" s="44">
        <v>36235</v>
      </c>
      <c r="I234" s="44">
        <v>31181</v>
      </c>
      <c r="J234" s="44">
        <v>32476</v>
      </c>
      <c r="K234" s="44">
        <v>33214</v>
      </c>
      <c r="L234" s="204">
        <v>30593</v>
      </c>
      <c r="M234" s="204">
        <v>27004</v>
      </c>
      <c r="N234" s="309"/>
      <c r="O234" s="309"/>
      <c r="P234" s="309"/>
      <c r="Q234" s="309"/>
    </row>
    <row r="235" spans="2:17" ht="15" thickBot="1">
      <c r="B235" s="263" t="s">
        <v>13</v>
      </c>
      <c r="C235" s="1150">
        <v>4858</v>
      </c>
      <c r="D235" s="1363">
        <v>6872</v>
      </c>
      <c r="E235" s="44">
        <v>8833</v>
      </c>
      <c r="F235" s="44">
        <v>8147</v>
      </c>
      <c r="G235" s="44">
        <v>7522</v>
      </c>
      <c r="H235" s="44">
        <v>9653</v>
      </c>
      <c r="I235" s="44">
        <v>10321</v>
      </c>
      <c r="J235" s="44">
        <v>10084</v>
      </c>
      <c r="K235" s="44">
        <v>10359</v>
      </c>
      <c r="L235" s="204">
        <v>8968</v>
      </c>
      <c r="M235" s="204">
        <v>8962</v>
      </c>
      <c r="N235" s="309"/>
      <c r="O235" s="309"/>
      <c r="P235" s="309"/>
      <c r="Q235" s="309"/>
    </row>
    <row r="236" spans="2:17" ht="15" thickBot="1">
      <c r="B236" s="263" t="s">
        <v>1622</v>
      </c>
      <c r="C236" s="1150">
        <v>3992</v>
      </c>
      <c r="D236" s="1363">
        <v>5513</v>
      </c>
      <c r="E236" s="44">
        <v>6005</v>
      </c>
      <c r="F236" s="44">
        <v>4203</v>
      </c>
      <c r="G236" s="44">
        <v>3799</v>
      </c>
      <c r="H236" s="44">
        <v>3037</v>
      </c>
      <c r="I236" s="44">
        <v>5237</v>
      </c>
      <c r="J236" s="44">
        <v>6138</v>
      </c>
      <c r="K236" s="44">
        <v>5406</v>
      </c>
      <c r="L236" s="204">
        <v>4520</v>
      </c>
      <c r="M236" s="204">
        <v>3641</v>
      </c>
      <c r="N236" s="309"/>
      <c r="O236" s="309"/>
      <c r="P236" s="309"/>
      <c r="Q236" s="309"/>
    </row>
    <row r="237" spans="2:17" ht="15" thickBot="1">
      <c r="B237" s="263" t="s">
        <v>31</v>
      </c>
      <c r="C237" s="1150">
        <v>3601</v>
      </c>
      <c r="D237" s="1363">
        <v>3639</v>
      </c>
      <c r="E237" s="44">
        <v>3300</v>
      </c>
      <c r="F237" s="44">
        <v>3010</v>
      </c>
      <c r="G237" s="44">
        <v>2181</v>
      </c>
      <c r="H237" s="44">
        <v>2800</v>
      </c>
      <c r="I237" s="44">
        <v>2840</v>
      </c>
      <c r="J237" s="44">
        <v>2941</v>
      </c>
      <c r="K237" s="44">
        <v>2797</v>
      </c>
      <c r="L237" s="204">
        <v>2694</v>
      </c>
      <c r="M237" s="204">
        <v>2295</v>
      </c>
      <c r="N237" s="309"/>
      <c r="O237" s="309"/>
      <c r="P237" s="309"/>
      <c r="Q237" s="309"/>
    </row>
    <row r="238" spans="2:17" ht="15" thickBot="1">
      <c r="B238" s="263" t="s">
        <v>17</v>
      </c>
      <c r="C238" s="1150">
        <v>2251</v>
      </c>
      <c r="D238" s="1363">
        <v>2520</v>
      </c>
      <c r="E238" s="44">
        <v>2388</v>
      </c>
      <c r="F238" s="44">
        <v>2228</v>
      </c>
      <c r="G238" s="44">
        <v>2489</v>
      </c>
      <c r="H238" s="44">
        <v>2908</v>
      </c>
      <c r="I238" s="44">
        <v>2867</v>
      </c>
      <c r="J238" s="44">
        <v>2784</v>
      </c>
      <c r="K238" s="44">
        <v>2941</v>
      </c>
      <c r="L238" s="204">
        <v>2446</v>
      </c>
      <c r="M238" s="204">
        <v>2519</v>
      </c>
      <c r="N238" s="309"/>
      <c r="O238" s="309"/>
      <c r="P238" s="309"/>
      <c r="Q238" s="309"/>
    </row>
    <row r="239" spans="2:17" ht="15" thickBot="1">
      <c r="B239" s="263" t="s">
        <v>24</v>
      </c>
      <c r="C239" s="1150">
        <v>2370</v>
      </c>
      <c r="D239" s="1363">
        <v>2421</v>
      </c>
      <c r="E239" s="44">
        <v>2322</v>
      </c>
      <c r="F239" s="44">
        <v>2199</v>
      </c>
      <c r="G239" s="44">
        <v>1924</v>
      </c>
      <c r="H239" s="44">
        <v>1845</v>
      </c>
      <c r="I239" s="44">
        <v>1648</v>
      </c>
      <c r="J239" s="44">
        <v>1801</v>
      </c>
      <c r="K239" s="44">
        <v>1713</v>
      </c>
      <c r="L239" s="204">
        <v>1331</v>
      </c>
      <c r="M239" s="204">
        <v>1106</v>
      </c>
      <c r="N239" s="309"/>
      <c r="O239" s="309"/>
      <c r="P239" s="309"/>
      <c r="Q239" s="309"/>
    </row>
    <row r="240" spans="2:17" ht="15" thickBot="1">
      <c r="B240" s="263" t="s">
        <v>1289</v>
      </c>
      <c r="C240" s="1150">
        <v>895</v>
      </c>
      <c r="D240" s="1363">
        <v>1280</v>
      </c>
      <c r="E240" s="44">
        <v>1668</v>
      </c>
      <c r="F240" s="44">
        <v>1562</v>
      </c>
      <c r="G240" s="44">
        <v>1734</v>
      </c>
      <c r="H240" s="44">
        <v>1929</v>
      </c>
      <c r="I240" s="44">
        <v>2064</v>
      </c>
      <c r="J240" s="44">
        <v>2314</v>
      </c>
      <c r="K240" s="44">
        <v>2310</v>
      </c>
      <c r="L240" s="204">
        <v>2152</v>
      </c>
      <c r="M240" s="204">
        <v>2260</v>
      </c>
      <c r="N240" s="309"/>
      <c r="O240" s="309"/>
      <c r="P240" s="309"/>
      <c r="Q240" s="309"/>
    </row>
    <row r="241" spans="2:17" ht="15" thickBot="1">
      <c r="B241" s="263" t="s">
        <v>1141</v>
      </c>
      <c r="C241" s="1150">
        <v>1017</v>
      </c>
      <c r="D241" s="1363">
        <v>1105</v>
      </c>
      <c r="E241" s="44">
        <v>1544</v>
      </c>
      <c r="F241" s="44">
        <v>1542</v>
      </c>
      <c r="G241" s="44">
        <v>1602</v>
      </c>
      <c r="H241" s="44">
        <v>1412</v>
      </c>
      <c r="I241" s="44">
        <v>1434</v>
      </c>
      <c r="J241" s="44">
        <v>1493</v>
      </c>
      <c r="K241" s="44">
        <v>1514</v>
      </c>
      <c r="L241" s="204">
        <v>1670</v>
      </c>
      <c r="M241" s="204">
        <v>1658</v>
      </c>
      <c r="N241" s="309"/>
      <c r="O241" s="309"/>
      <c r="P241" s="309"/>
      <c r="Q241" s="309"/>
    </row>
    <row r="242" spans="2:17" ht="15" thickBot="1">
      <c r="B242" s="263" t="s">
        <v>29</v>
      </c>
      <c r="C242" s="1150">
        <v>1417</v>
      </c>
      <c r="D242" s="1363">
        <v>1602</v>
      </c>
      <c r="E242" s="44">
        <v>1515</v>
      </c>
      <c r="F242" s="44">
        <v>1394</v>
      </c>
      <c r="G242" s="44">
        <v>1163</v>
      </c>
      <c r="H242" s="44">
        <v>1184</v>
      </c>
      <c r="I242" s="44">
        <v>1024</v>
      </c>
      <c r="J242" s="44">
        <v>1137</v>
      </c>
      <c r="K242" s="44">
        <v>1082</v>
      </c>
      <c r="L242" s="204">
        <v>886</v>
      </c>
      <c r="M242" s="204">
        <v>783</v>
      </c>
      <c r="N242" s="309"/>
      <c r="O242" s="309"/>
      <c r="P242" s="309"/>
      <c r="Q242" s="309"/>
    </row>
    <row r="243" spans="2:17" ht="15" thickBot="1">
      <c r="B243" s="263" t="s">
        <v>1290</v>
      </c>
      <c r="C243" s="1150">
        <v>990</v>
      </c>
      <c r="D243" s="1363">
        <v>1217</v>
      </c>
      <c r="E243" s="44">
        <v>1333</v>
      </c>
      <c r="F243" s="44">
        <v>1217</v>
      </c>
      <c r="G243" s="44">
        <v>947</v>
      </c>
      <c r="H243" s="44">
        <v>955</v>
      </c>
      <c r="I243" s="44">
        <v>933</v>
      </c>
      <c r="J243" s="44">
        <v>1046</v>
      </c>
      <c r="K243" s="44">
        <v>936</v>
      </c>
      <c r="L243" s="204">
        <v>930</v>
      </c>
      <c r="M243" s="204">
        <v>776</v>
      </c>
      <c r="N243" s="309"/>
      <c r="O243" s="309"/>
      <c r="P243" s="309"/>
      <c r="Q243" s="309"/>
    </row>
    <row r="244" spans="2:17" ht="15" thickBot="1">
      <c r="B244" s="263" t="s">
        <v>36</v>
      </c>
      <c r="C244" s="1150">
        <v>830</v>
      </c>
      <c r="D244" s="1363">
        <v>942</v>
      </c>
      <c r="E244" s="44">
        <v>1457</v>
      </c>
      <c r="F244" s="44">
        <v>1184</v>
      </c>
      <c r="G244" s="44">
        <v>1097</v>
      </c>
      <c r="H244" s="44">
        <v>1091</v>
      </c>
      <c r="I244" s="44">
        <v>1045</v>
      </c>
      <c r="J244" s="44">
        <v>1269</v>
      </c>
      <c r="K244" s="44">
        <v>1183</v>
      </c>
      <c r="L244" s="204">
        <v>1478</v>
      </c>
      <c r="M244" s="204">
        <v>1317</v>
      </c>
      <c r="N244" s="309"/>
      <c r="O244" s="309"/>
      <c r="P244" s="309"/>
      <c r="Q244" s="309"/>
    </row>
    <row r="245" spans="2:17" ht="15" thickBot="1">
      <c r="B245" s="263" t="s">
        <v>327</v>
      </c>
      <c r="C245" s="1150">
        <v>694</v>
      </c>
      <c r="D245" s="1363">
        <v>859</v>
      </c>
      <c r="E245" s="44">
        <v>1189</v>
      </c>
      <c r="F245" s="44">
        <v>1144</v>
      </c>
      <c r="G245" s="44">
        <v>1008</v>
      </c>
      <c r="H245" s="44">
        <v>1025</v>
      </c>
      <c r="I245" s="44">
        <v>981</v>
      </c>
      <c r="J245" s="44">
        <v>1433</v>
      </c>
      <c r="K245" s="44">
        <v>1570</v>
      </c>
      <c r="L245" s="204">
        <v>1552</v>
      </c>
      <c r="M245" s="204">
        <v>1599</v>
      </c>
      <c r="N245" s="309"/>
      <c r="O245" s="309"/>
      <c r="P245" s="309"/>
      <c r="Q245" s="309"/>
    </row>
    <row r="246" spans="2:17" ht="15" thickBot="1">
      <c r="B246" s="263" t="s">
        <v>1292</v>
      </c>
      <c r="C246" s="1150">
        <v>752</v>
      </c>
      <c r="D246" s="1363">
        <v>897</v>
      </c>
      <c r="E246" s="44">
        <v>1090</v>
      </c>
      <c r="F246" s="44">
        <v>1081</v>
      </c>
      <c r="G246" s="44">
        <v>917</v>
      </c>
      <c r="H246" s="44">
        <v>923</v>
      </c>
      <c r="I246" s="44">
        <v>1116</v>
      </c>
      <c r="J246" s="44">
        <v>1440</v>
      </c>
      <c r="K246" s="44">
        <v>1621</v>
      </c>
      <c r="L246" s="204">
        <v>1407</v>
      </c>
      <c r="M246" s="204">
        <v>706</v>
      </c>
      <c r="N246" s="309"/>
      <c r="O246" s="309"/>
      <c r="P246" s="309"/>
      <c r="Q246" s="309"/>
    </row>
    <row r="247" spans="2:17">
      <c r="B247" s="264" t="s">
        <v>354</v>
      </c>
      <c r="C247" s="1262">
        <f>C248-C246-C245-C244-C243-C242-C241-C240-C239-C238-C237-C236-C235-C234-C233</f>
        <v>10336</v>
      </c>
      <c r="D247" s="1381">
        <f>D248-D246-D245-D244-D243-D242-D241-D240-D239-D238-D237-D236-D235-D234-D233</f>
        <v>13351</v>
      </c>
      <c r="E247" s="109">
        <f>E248-E246-E245-E244-E243-E242-E241-E240-E239-E238-E237-E236-E235-E234-E233</f>
        <v>12391</v>
      </c>
      <c r="F247" s="109">
        <f>F248-F246-F245-F244-F243-F242-F241-F240-F239-F238-F237-F236-F235-F234-F233</f>
        <v>9818</v>
      </c>
      <c r="G247" s="109">
        <v>7950</v>
      </c>
      <c r="H247" s="109">
        <v>8362</v>
      </c>
      <c r="I247" s="109">
        <v>8009</v>
      </c>
      <c r="J247" s="109">
        <v>8494</v>
      </c>
      <c r="K247" s="109">
        <v>8185</v>
      </c>
      <c r="L247" s="265">
        <v>7567</v>
      </c>
      <c r="M247" s="265">
        <v>7750</v>
      </c>
      <c r="N247" s="309"/>
      <c r="O247" s="309"/>
      <c r="P247" s="309"/>
      <c r="Q247" s="309"/>
    </row>
    <row r="248" spans="2:17">
      <c r="B248" s="308" t="s">
        <v>52</v>
      </c>
      <c r="C248" s="1172">
        <v>86387</v>
      </c>
      <c r="D248" s="1172">
        <v>96777</v>
      </c>
      <c r="E248" s="73">
        <v>109481</v>
      </c>
      <c r="F248" s="73">
        <v>105363</v>
      </c>
      <c r="G248" s="73">
        <v>99351</v>
      </c>
      <c r="H248" s="73">
        <v>102077</v>
      </c>
      <c r="I248" s="73">
        <v>94657</v>
      </c>
      <c r="J248" s="73">
        <v>96095</v>
      </c>
      <c r="K248" s="73">
        <v>94418</v>
      </c>
      <c r="L248" s="73">
        <v>86509</v>
      </c>
      <c r="M248" s="73">
        <v>78141</v>
      </c>
      <c r="N248" s="126"/>
      <c r="O248" s="126"/>
      <c r="P248" s="126"/>
      <c r="Q248" s="126"/>
    </row>
    <row r="249" spans="2:17">
      <c r="B249" s="41" t="s">
        <v>2019</v>
      </c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</row>
    <row r="250" spans="2:17"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</row>
    <row r="252" spans="2:17" ht="15.6">
      <c r="B252" s="86" t="s">
        <v>581</v>
      </c>
    </row>
    <row r="253" spans="2:17">
      <c r="B253" s="290" t="s">
        <v>1291</v>
      </c>
    </row>
    <row r="254" spans="2:17">
      <c r="B254" s="153" t="s">
        <v>590</v>
      </c>
      <c r="C254" s="153">
        <v>2023</v>
      </c>
      <c r="D254" s="153">
        <v>2023</v>
      </c>
      <c r="E254" s="271">
        <v>2022</v>
      </c>
      <c r="F254" s="271">
        <v>2021</v>
      </c>
      <c r="G254" s="271">
        <v>2020</v>
      </c>
      <c r="H254" s="271">
        <v>2019</v>
      </c>
      <c r="I254" s="271">
        <v>2018</v>
      </c>
      <c r="J254" s="271">
        <v>2017</v>
      </c>
      <c r="K254" s="271">
        <v>2016</v>
      </c>
      <c r="L254" s="271">
        <v>2015</v>
      </c>
      <c r="M254" s="271">
        <v>2014</v>
      </c>
      <c r="N254" s="982"/>
      <c r="O254" s="982"/>
    </row>
    <row r="255" spans="2:17" ht="15" thickBot="1">
      <c r="B255" s="749" t="s">
        <v>27</v>
      </c>
      <c r="C255" s="1173">
        <v>29278</v>
      </c>
      <c r="D255" s="1380">
        <v>31374</v>
      </c>
      <c r="E255" s="44">
        <v>36399</v>
      </c>
      <c r="F255" s="44">
        <v>32482</v>
      </c>
      <c r="G255" s="44">
        <v>32874</v>
      </c>
      <c r="H255" s="44">
        <v>34094</v>
      </c>
      <c r="I255" s="44">
        <v>31829</v>
      </c>
      <c r="J255" s="512">
        <v>32695</v>
      </c>
      <c r="K255" s="512">
        <v>36613</v>
      </c>
      <c r="L255" s="512">
        <v>34932</v>
      </c>
      <c r="M255" s="512">
        <v>29752</v>
      </c>
      <c r="N255" s="513"/>
      <c r="O255" s="513"/>
    </row>
    <row r="256" spans="2:17" ht="15" thickBot="1">
      <c r="B256" s="749" t="s">
        <v>485</v>
      </c>
      <c r="C256" s="1173">
        <v>7055</v>
      </c>
      <c r="D256" s="1380">
        <v>7993</v>
      </c>
      <c r="E256" s="44">
        <v>8061</v>
      </c>
      <c r="F256" s="44">
        <v>8074</v>
      </c>
      <c r="G256" s="44">
        <v>8061</v>
      </c>
      <c r="H256" s="44">
        <v>9985</v>
      </c>
      <c r="I256" s="44">
        <v>9737</v>
      </c>
      <c r="J256" s="512">
        <v>10391</v>
      </c>
      <c r="K256" s="512">
        <v>10706</v>
      </c>
      <c r="L256" s="512">
        <v>10114</v>
      </c>
      <c r="M256" s="512">
        <v>9553</v>
      </c>
      <c r="N256" s="513"/>
      <c r="O256" s="513"/>
    </row>
    <row r="257" spans="2:16" ht="15" thickBot="1">
      <c r="B257" s="749" t="s">
        <v>23</v>
      </c>
      <c r="C257" s="1173">
        <v>2523</v>
      </c>
      <c r="D257" s="1380">
        <v>4217</v>
      </c>
      <c r="E257" s="44">
        <v>4294</v>
      </c>
      <c r="F257" s="44">
        <v>4018</v>
      </c>
      <c r="G257" s="44">
        <v>1736</v>
      </c>
      <c r="H257" s="44">
        <v>3426</v>
      </c>
      <c r="I257" s="44">
        <v>1957</v>
      </c>
      <c r="J257" s="512">
        <v>1878</v>
      </c>
      <c r="K257" s="512">
        <v>2338</v>
      </c>
      <c r="L257" s="512">
        <v>1568</v>
      </c>
      <c r="M257" s="512">
        <v>885</v>
      </c>
      <c r="N257" s="513"/>
      <c r="O257" s="513"/>
    </row>
    <row r="258" spans="2:16" ht="15" thickBot="1">
      <c r="B258" s="263" t="s">
        <v>1289</v>
      </c>
      <c r="C258" s="1150">
        <v>3663</v>
      </c>
      <c r="D258" s="1363">
        <v>3532</v>
      </c>
      <c r="E258" s="44">
        <v>3772</v>
      </c>
      <c r="F258" s="44">
        <v>3137</v>
      </c>
      <c r="G258" s="44">
        <v>2679</v>
      </c>
      <c r="H258" s="44">
        <v>2835</v>
      </c>
      <c r="I258" s="44">
        <v>2414</v>
      </c>
      <c r="J258" s="512">
        <v>2137</v>
      </c>
      <c r="K258" s="512">
        <v>2383</v>
      </c>
      <c r="L258" s="512">
        <v>2245</v>
      </c>
      <c r="M258" s="512">
        <v>1800</v>
      </c>
      <c r="N258" s="513"/>
      <c r="O258" s="513"/>
    </row>
    <row r="259" spans="2:16" ht="15" thickBot="1">
      <c r="B259" s="749" t="s">
        <v>24</v>
      </c>
      <c r="C259" s="1173">
        <v>2783</v>
      </c>
      <c r="D259" s="1380">
        <v>2217</v>
      </c>
      <c r="E259" s="44">
        <v>2521</v>
      </c>
      <c r="F259" s="44">
        <v>2294</v>
      </c>
      <c r="G259" s="44">
        <v>1476</v>
      </c>
      <c r="H259" s="44">
        <v>1627</v>
      </c>
      <c r="I259" s="44">
        <v>1661</v>
      </c>
      <c r="J259" s="512">
        <v>1771</v>
      </c>
      <c r="K259" s="512">
        <v>1768</v>
      </c>
      <c r="L259" s="512">
        <v>1863</v>
      </c>
      <c r="M259" s="512">
        <v>1922</v>
      </c>
      <c r="N259" s="513"/>
      <c r="O259" s="513"/>
    </row>
    <row r="260" spans="2:16" ht="15" thickBot="1">
      <c r="B260" s="749" t="s">
        <v>1620</v>
      </c>
      <c r="C260" s="1173">
        <v>1589</v>
      </c>
      <c r="D260" s="1380">
        <v>2011</v>
      </c>
      <c r="E260" s="44">
        <v>2386</v>
      </c>
      <c r="F260" s="44">
        <v>1847</v>
      </c>
      <c r="G260" s="44">
        <v>1860</v>
      </c>
      <c r="H260" s="44">
        <v>2205</v>
      </c>
      <c r="I260" s="44">
        <v>2122</v>
      </c>
      <c r="J260" s="512">
        <v>2483</v>
      </c>
      <c r="K260" s="512">
        <v>2376</v>
      </c>
      <c r="L260" s="512">
        <v>2436</v>
      </c>
      <c r="M260" s="512">
        <v>2173</v>
      </c>
      <c r="N260" s="513"/>
      <c r="O260" s="513"/>
    </row>
    <row r="261" spans="2:16" ht="15" thickBot="1">
      <c r="B261" s="749" t="s">
        <v>1290</v>
      </c>
      <c r="C261" s="1173">
        <v>1010</v>
      </c>
      <c r="D261" s="1380">
        <v>1312</v>
      </c>
      <c r="E261" s="44">
        <v>1399</v>
      </c>
      <c r="F261" s="44">
        <v>1230</v>
      </c>
      <c r="G261" s="44">
        <v>1107</v>
      </c>
      <c r="H261" s="44">
        <v>1485</v>
      </c>
      <c r="I261" s="44">
        <v>1398</v>
      </c>
      <c r="J261" s="512">
        <v>1304</v>
      </c>
      <c r="K261" s="512">
        <v>1382</v>
      </c>
      <c r="L261" s="512">
        <v>1415</v>
      </c>
      <c r="M261" s="512">
        <v>1241</v>
      </c>
      <c r="N261" s="513"/>
      <c r="O261" s="513"/>
    </row>
    <row r="262" spans="2:16" ht="15" thickBot="1">
      <c r="B262" s="749" t="s">
        <v>21</v>
      </c>
      <c r="C262" s="1173">
        <v>797</v>
      </c>
      <c r="D262" s="1380">
        <v>1219</v>
      </c>
      <c r="E262" s="44">
        <v>1401</v>
      </c>
      <c r="F262" s="44">
        <v>1134</v>
      </c>
      <c r="G262" s="44">
        <v>912</v>
      </c>
      <c r="H262" s="44">
        <v>901</v>
      </c>
      <c r="I262" s="44">
        <v>693</v>
      </c>
      <c r="J262" s="512">
        <v>713</v>
      </c>
      <c r="K262" s="512">
        <v>719</v>
      </c>
      <c r="L262" s="512">
        <v>736</v>
      </c>
      <c r="M262" s="512">
        <v>550</v>
      </c>
      <c r="N262" s="513"/>
      <c r="O262" s="513"/>
    </row>
    <row r="263" spans="2:16" ht="15" thickBot="1">
      <c r="B263" s="749" t="s">
        <v>1292</v>
      </c>
      <c r="C263" s="1173">
        <v>745</v>
      </c>
      <c r="D263" s="1380">
        <v>1029</v>
      </c>
      <c r="E263" s="44">
        <v>1287</v>
      </c>
      <c r="F263" s="44">
        <v>1122</v>
      </c>
      <c r="G263" s="44">
        <v>1405</v>
      </c>
      <c r="H263" s="44">
        <v>1533</v>
      </c>
      <c r="I263" s="44">
        <v>1913</v>
      </c>
      <c r="J263" s="512">
        <v>1931</v>
      </c>
      <c r="K263" s="512">
        <v>1578</v>
      </c>
      <c r="L263" s="512">
        <v>2038</v>
      </c>
      <c r="M263" s="512">
        <v>1447</v>
      </c>
      <c r="N263" s="513"/>
      <c r="O263" s="513"/>
    </row>
    <row r="264" spans="2:16" ht="15" thickBot="1">
      <c r="B264" s="749" t="s">
        <v>37</v>
      </c>
      <c r="C264" s="1173">
        <v>754</v>
      </c>
      <c r="D264" s="1380">
        <v>1024</v>
      </c>
      <c r="E264" s="44">
        <v>1052</v>
      </c>
      <c r="F264" s="44">
        <v>870</v>
      </c>
      <c r="G264" s="44">
        <v>1349</v>
      </c>
      <c r="H264" s="44">
        <v>1420</v>
      </c>
      <c r="I264" s="44">
        <v>1535</v>
      </c>
      <c r="J264" s="512">
        <v>1637</v>
      </c>
      <c r="K264" s="512">
        <v>1406</v>
      </c>
      <c r="L264" s="512">
        <v>1944</v>
      </c>
      <c r="M264" s="512">
        <v>1901</v>
      </c>
      <c r="N264" s="513"/>
      <c r="O264" s="513"/>
    </row>
    <row r="265" spans="2:16" ht="15" thickBot="1">
      <c r="B265" s="749" t="s">
        <v>12</v>
      </c>
      <c r="C265" s="1173">
        <v>371</v>
      </c>
      <c r="D265" s="1380">
        <v>556</v>
      </c>
      <c r="E265" s="44">
        <v>574</v>
      </c>
      <c r="F265" s="44">
        <v>828</v>
      </c>
      <c r="G265" s="44">
        <v>618</v>
      </c>
      <c r="H265" s="44">
        <v>871</v>
      </c>
      <c r="I265" s="44">
        <v>725</v>
      </c>
      <c r="J265" s="512">
        <v>623</v>
      </c>
      <c r="K265" s="512">
        <v>708</v>
      </c>
      <c r="L265" s="512">
        <v>581</v>
      </c>
      <c r="M265" s="512">
        <v>600</v>
      </c>
      <c r="N265" s="513"/>
      <c r="O265" s="513"/>
    </row>
    <row r="266" spans="2:16" ht="15" thickBot="1">
      <c r="B266" s="749" t="s">
        <v>38</v>
      </c>
      <c r="C266" s="1173">
        <v>417</v>
      </c>
      <c r="D266" s="1380">
        <v>611</v>
      </c>
      <c r="E266" s="44">
        <v>692</v>
      </c>
      <c r="F266" s="44">
        <v>545</v>
      </c>
      <c r="G266" s="44">
        <v>581</v>
      </c>
      <c r="H266" s="44">
        <v>544</v>
      </c>
      <c r="I266" s="44">
        <v>376</v>
      </c>
      <c r="J266" s="512">
        <v>350</v>
      </c>
      <c r="K266" s="512">
        <v>264</v>
      </c>
      <c r="L266" s="512">
        <v>218</v>
      </c>
      <c r="M266" s="512">
        <v>241</v>
      </c>
      <c r="N266" s="513"/>
      <c r="O266" s="513"/>
    </row>
    <row r="267" spans="2:16">
      <c r="B267" s="751" t="s">
        <v>129</v>
      </c>
      <c r="C267" s="1175">
        <f>C268-C266-C265-C264-C263-C262-C261-C260-C259-C258-C257-C256-C255</f>
        <v>3200</v>
      </c>
      <c r="D267" s="1169">
        <f>D268-D266-D265-D264-D263-D262-D261-D260-D259-D258-D257-D256-D255</f>
        <v>3419</v>
      </c>
      <c r="E267" s="39">
        <f>E268-E266-E265-E264-E263-E262-E261-E260-E259-E258-E257-E256-E255</f>
        <v>3986</v>
      </c>
      <c r="F267" s="39">
        <v>3113</v>
      </c>
      <c r="G267" s="39">
        <v>2842</v>
      </c>
      <c r="H267" s="39">
        <v>4689</v>
      </c>
      <c r="I267" s="39">
        <v>4493</v>
      </c>
      <c r="J267" s="513">
        <v>4228</v>
      </c>
      <c r="K267" s="513">
        <v>3974</v>
      </c>
      <c r="L267" s="513">
        <v>4133</v>
      </c>
      <c r="M267" s="513">
        <v>3394</v>
      </c>
      <c r="N267" s="513"/>
      <c r="O267" s="513"/>
    </row>
    <row r="268" spans="2:16">
      <c r="B268" s="271" t="s">
        <v>3</v>
      </c>
      <c r="C268" s="1171">
        <v>54185</v>
      </c>
      <c r="D268" s="1171">
        <v>60514</v>
      </c>
      <c r="E268" s="272">
        <v>67824</v>
      </c>
      <c r="F268" s="272">
        <v>60695</v>
      </c>
      <c r="G268" s="272">
        <v>57506</v>
      </c>
      <c r="H268" s="272">
        <v>65622</v>
      </c>
      <c r="I268" s="272">
        <v>60850</v>
      </c>
      <c r="J268" s="272">
        <v>62140</v>
      </c>
      <c r="K268" s="272">
        <v>66213</v>
      </c>
      <c r="L268" s="272">
        <v>64217</v>
      </c>
      <c r="M268" s="272">
        <v>55455</v>
      </c>
      <c r="N268" s="959"/>
      <c r="O268" s="959"/>
    </row>
    <row r="269" spans="2:16">
      <c r="B269" s="41" t="s">
        <v>2019</v>
      </c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</row>
    <row r="270" spans="2:16"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</row>
    <row r="273" spans="2:17" ht="15.6">
      <c r="B273" s="86" t="s">
        <v>1293</v>
      </c>
    </row>
    <row r="274" spans="2:17">
      <c r="B274" s="260" t="s">
        <v>582</v>
      </c>
    </row>
    <row r="275" spans="2:17">
      <c r="B275" s="153"/>
      <c r="C275" s="153">
        <v>2024</v>
      </c>
      <c r="D275" s="153">
        <v>2023</v>
      </c>
      <c r="E275" s="741">
        <v>2022</v>
      </c>
      <c r="F275" s="741">
        <v>2021</v>
      </c>
      <c r="G275" s="741">
        <v>2020</v>
      </c>
      <c r="H275" s="741">
        <v>2019</v>
      </c>
      <c r="I275" s="741">
        <v>2018</v>
      </c>
      <c r="J275" s="741">
        <v>2017</v>
      </c>
      <c r="K275" s="741">
        <v>2016</v>
      </c>
      <c r="L275" s="742">
        <v>2015</v>
      </c>
      <c r="M275" s="741">
        <v>2014</v>
      </c>
      <c r="N275" s="983"/>
      <c r="O275" s="1092"/>
    </row>
    <row r="276" spans="2:17" ht="15" thickBot="1">
      <c r="B276" s="263" t="s">
        <v>1294</v>
      </c>
      <c r="C276" s="1150">
        <v>49082</v>
      </c>
      <c r="D276" s="1363">
        <v>43440</v>
      </c>
      <c r="E276" s="44">
        <v>56153</v>
      </c>
      <c r="F276" s="44">
        <v>55891</v>
      </c>
      <c r="G276" s="44">
        <v>89011</v>
      </c>
      <c r="H276" s="44">
        <v>78267</v>
      </c>
      <c r="I276" s="743">
        <v>93865</v>
      </c>
      <c r="J276" s="743">
        <v>101579</v>
      </c>
      <c r="K276" s="743">
        <v>68822</v>
      </c>
      <c r="L276" s="753">
        <v>58650</v>
      </c>
      <c r="M276" s="753">
        <v>59367</v>
      </c>
      <c r="N276" s="747"/>
      <c r="O276" s="747"/>
    </row>
    <row r="277" spans="2:17" ht="15" thickBot="1">
      <c r="B277" s="263" t="s">
        <v>583</v>
      </c>
      <c r="C277" s="1150">
        <v>10040</v>
      </c>
      <c r="D277" s="1363">
        <v>11469</v>
      </c>
      <c r="E277" s="44">
        <v>11082</v>
      </c>
      <c r="F277" s="44">
        <v>10358</v>
      </c>
      <c r="G277" s="44">
        <v>6660</v>
      </c>
      <c r="H277" s="44">
        <v>7248</v>
      </c>
      <c r="I277" s="743">
        <v>6816</v>
      </c>
      <c r="J277" s="743">
        <v>6807</v>
      </c>
      <c r="K277" s="743">
        <v>5971</v>
      </c>
      <c r="L277" s="743">
        <v>3821</v>
      </c>
      <c r="M277" s="743">
        <v>2423</v>
      </c>
      <c r="N277" s="746"/>
      <c r="O277" s="746"/>
    </row>
    <row r="278" spans="2:17" ht="15" thickBot="1">
      <c r="B278" s="268" t="s">
        <v>1295</v>
      </c>
      <c r="C278" s="1150">
        <v>1210</v>
      </c>
      <c r="D278" s="1363">
        <v>990</v>
      </c>
      <c r="E278" s="44">
        <v>1268</v>
      </c>
      <c r="F278" s="44">
        <v>1424</v>
      </c>
      <c r="G278" s="44">
        <v>1001</v>
      </c>
      <c r="H278" s="44">
        <v>898</v>
      </c>
      <c r="I278" s="744">
        <v>708</v>
      </c>
      <c r="J278" s="744">
        <v>710</v>
      </c>
      <c r="K278" s="744">
        <v>509</v>
      </c>
      <c r="L278" s="745">
        <v>364</v>
      </c>
      <c r="M278" s="745">
        <v>247</v>
      </c>
      <c r="N278" s="747"/>
      <c r="O278" s="747"/>
    </row>
    <row r="279" spans="2:17">
      <c r="B279" s="154" t="s">
        <v>584</v>
      </c>
      <c r="C279" s="1157">
        <v>359</v>
      </c>
      <c r="D279" s="1364">
        <v>307</v>
      </c>
      <c r="E279" s="39">
        <v>515</v>
      </c>
      <c r="F279" s="39">
        <v>380</v>
      </c>
      <c r="G279" s="39">
        <v>526</v>
      </c>
      <c r="H279" s="39">
        <v>591</v>
      </c>
      <c r="I279" s="746">
        <v>626</v>
      </c>
      <c r="J279" s="746">
        <v>515</v>
      </c>
      <c r="K279" s="746">
        <v>585</v>
      </c>
      <c r="L279" s="747">
        <v>803</v>
      </c>
      <c r="M279" s="747">
        <v>937</v>
      </c>
      <c r="N279" s="747"/>
      <c r="O279" s="747"/>
    </row>
    <row r="280" spans="2:17">
      <c r="B280" s="261" t="s">
        <v>52</v>
      </c>
      <c r="C280" s="73">
        <f>C279+C278+C277+C276</f>
        <v>60691</v>
      </c>
      <c r="D280" s="73">
        <f>D279+D278+D277+D276</f>
        <v>56206</v>
      </c>
      <c r="E280" s="266">
        <f>E279+E278+E277+E276</f>
        <v>69018</v>
      </c>
      <c r="F280" s="266">
        <v>68053</v>
      </c>
      <c r="G280" s="266">
        <v>97198</v>
      </c>
      <c r="H280" s="266">
        <v>87004</v>
      </c>
      <c r="I280" s="748">
        <v>102015</v>
      </c>
      <c r="J280" s="748">
        <v>109611</v>
      </c>
      <c r="K280" s="748">
        <v>75887</v>
      </c>
      <c r="L280" s="748">
        <v>63638</v>
      </c>
      <c r="M280" s="748">
        <v>62974</v>
      </c>
      <c r="N280" s="756"/>
      <c r="O280" s="756"/>
    </row>
    <row r="281" spans="2:17">
      <c r="B281" s="41" t="s">
        <v>2019</v>
      </c>
      <c r="C281" s="23"/>
      <c r="D281" s="23"/>
      <c r="E281" s="23"/>
      <c r="F281" s="23"/>
      <c r="G281" s="23"/>
      <c r="H281" s="23"/>
      <c r="I281" s="267"/>
      <c r="J281" s="267"/>
      <c r="K281" s="267"/>
    </row>
    <row r="282" spans="2:17">
      <c r="B282" s="41"/>
      <c r="C282" s="23"/>
      <c r="D282" s="23"/>
      <c r="E282" s="23"/>
    </row>
    <row r="283" spans="2:17" ht="15.6">
      <c r="B283" s="86" t="s">
        <v>1293</v>
      </c>
    </row>
    <row r="284" spans="2:17">
      <c r="B284" s="260" t="s">
        <v>1296</v>
      </c>
    </row>
    <row r="285" spans="2:17">
      <c r="B285" s="153"/>
      <c r="C285" s="153">
        <v>2024</v>
      </c>
      <c r="D285" s="153">
        <v>2023</v>
      </c>
      <c r="E285" s="741">
        <v>2022</v>
      </c>
      <c r="F285" s="741">
        <v>2021</v>
      </c>
      <c r="G285" s="741">
        <v>2020</v>
      </c>
      <c r="H285" s="741">
        <v>2019</v>
      </c>
      <c r="I285" s="741">
        <v>2018</v>
      </c>
      <c r="J285" s="741">
        <v>2017</v>
      </c>
      <c r="K285" s="741">
        <v>2016</v>
      </c>
      <c r="L285" s="741">
        <v>2015</v>
      </c>
      <c r="M285" s="741">
        <v>2014</v>
      </c>
      <c r="N285" s="983"/>
      <c r="O285" s="983"/>
      <c r="Q285" s="983"/>
    </row>
    <row r="286" spans="2:17" ht="15" thickBot="1">
      <c r="B286" s="749" t="s">
        <v>27</v>
      </c>
      <c r="C286" s="1173">
        <v>16622</v>
      </c>
      <c r="D286" s="1380">
        <v>19296</v>
      </c>
      <c r="E286" s="44">
        <v>19734</v>
      </c>
      <c r="F286" s="44">
        <v>22850</v>
      </c>
      <c r="G286" s="44">
        <v>54670</v>
      </c>
      <c r="H286" s="44">
        <v>55252</v>
      </c>
      <c r="I286" s="44">
        <v>55877</v>
      </c>
      <c r="J286" s="512">
        <v>50417</v>
      </c>
      <c r="K286" s="512">
        <v>37674</v>
      </c>
      <c r="L286" s="512">
        <v>30747</v>
      </c>
      <c r="M286" s="512">
        <v>20138</v>
      </c>
      <c r="N286" s="513"/>
      <c r="O286" s="513"/>
      <c r="Q286" s="513"/>
    </row>
    <row r="287" spans="2:17" ht="15" thickBot="1">
      <c r="B287" s="749" t="s">
        <v>1622</v>
      </c>
      <c r="C287" s="1173">
        <v>20607</v>
      </c>
      <c r="D287" s="1380">
        <v>13332</v>
      </c>
      <c r="E287" s="44">
        <v>26003</v>
      </c>
      <c r="F287" s="44">
        <v>18663</v>
      </c>
      <c r="G287" s="44">
        <v>17862</v>
      </c>
      <c r="H287" s="44">
        <v>10885</v>
      </c>
      <c r="I287" s="44">
        <v>22679</v>
      </c>
      <c r="J287" s="512">
        <v>26858</v>
      </c>
      <c r="K287" s="512">
        <v>11514</v>
      </c>
      <c r="L287" s="512">
        <v>6489</v>
      </c>
      <c r="M287" s="512">
        <v>14680</v>
      </c>
      <c r="N287" s="513"/>
      <c r="O287" s="513"/>
      <c r="Q287" s="513"/>
    </row>
    <row r="288" spans="2:17" ht="15" thickBot="1">
      <c r="B288" s="749" t="s">
        <v>1684</v>
      </c>
      <c r="C288" s="1173">
        <v>2654</v>
      </c>
      <c r="D288" s="1380">
        <v>2703</v>
      </c>
      <c r="E288" s="44">
        <v>2188</v>
      </c>
      <c r="F288" s="44">
        <v>4003</v>
      </c>
      <c r="G288" s="44">
        <v>4109</v>
      </c>
      <c r="H288" s="44">
        <v>4603</v>
      </c>
      <c r="I288" s="44">
        <v>4613</v>
      </c>
      <c r="J288" s="512">
        <v>6131</v>
      </c>
      <c r="K288" s="512">
        <v>5604</v>
      </c>
      <c r="L288" s="512">
        <v>6431</v>
      </c>
      <c r="M288" s="512">
        <v>6877</v>
      </c>
      <c r="N288" s="513"/>
      <c r="O288" s="513"/>
      <c r="Q288" s="513"/>
    </row>
    <row r="289" spans="2:17" ht="15" thickBot="1">
      <c r="B289" s="749" t="s">
        <v>1685</v>
      </c>
      <c r="C289" s="1173">
        <v>217</v>
      </c>
      <c r="D289" s="1380">
        <v>227</v>
      </c>
      <c r="E289" s="44">
        <v>257</v>
      </c>
      <c r="F289" s="44">
        <v>3088</v>
      </c>
      <c r="G289" s="44">
        <v>8108</v>
      </c>
      <c r="H289" s="44">
        <v>1721</v>
      </c>
      <c r="I289" s="44">
        <v>3887</v>
      </c>
      <c r="J289" s="512">
        <v>11369</v>
      </c>
      <c r="K289" s="512">
        <v>6038</v>
      </c>
      <c r="L289" s="512">
        <v>8505</v>
      </c>
      <c r="M289" s="512">
        <v>13490</v>
      </c>
      <c r="N289" s="513"/>
      <c r="O289" s="513"/>
      <c r="Q289" s="513"/>
    </row>
    <row r="290" spans="2:17" ht="15" thickBot="1">
      <c r="B290" s="749" t="s">
        <v>1620</v>
      </c>
      <c r="C290" s="1173">
        <v>167</v>
      </c>
      <c r="D290" s="1380">
        <v>537</v>
      </c>
      <c r="E290" s="44">
        <v>1138</v>
      </c>
      <c r="F290" s="44">
        <v>1560</v>
      </c>
      <c r="G290" s="44">
        <v>514</v>
      </c>
      <c r="H290" s="44">
        <v>320</v>
      </c>
      <c r="I290" s="44">
        <v>494</v>
      </c>
      <c r="J290" s="512">
        <v>385</v>
      </c>
      <c r="K290" s="512">
        <v>383</v>
      </c>
      <c r="L290" s="512">
        <v>384</v>
      </c>
      <c r="M290" s="512">
        <v>265</v>
      </c>
      <c r="N290" s="513"/>
      <c r="O290" s="513"/>
      <c r="Q290" s="513"/>
    </row>
    <row r="291" spans="2:17" ht="15" thickBot="1">
      <c r="B291" s="749" t="s">
        <v>12</v>
      </c>
      <c r="C291" s="1173">
        <v>2212</v>
      </c>
      <c r="D291" s="1380">
        <v>2014</v>
      </c>
      <c r="E291" s="44">
        <v>1977</v>
      </c>
      <c r="F291" s="44">
        <v>1385</v>
      </c>
      <c r="G291" s="44">
        <v>528</v>
      </c>
      <c r="H291" s="44">
        <v>1195</v>
      </c>
      <c r="I291" s="44">
        <v>1658</v>
      </c>
      <c r="J291" s="512">
        <v>2132</v>
      </c>
      <c r="K291" s="512">
        <v>3234</v>
      </c>
      <c r="L291" s="512">
        <v>2605</v>
      </c>
      <c r="M291" s="512">
        <v>1235</v>
      </c>
      <c r="N291" s="513"/>
      <c r="O291" s="513"/>
      <c r="Q291" s="513"/>
    </row>
    <row r="292" spans="2:17" ht="15" thickBot="1">
      <c r="B292" s="749" t="s">
        <v>13</v>
      </c>
      <c r="C292" s="1173">
        <v>920</v>
      </c>
      <c r="D292" s="1380">
        <v>1455</v>
      </c>
      <c r="E292" s="44">
        <v>1135</v>
      </c>
      <c r="F292" s="44">
        <v>1060</v>
      </c>
      <c r="G292" s="44">
        <v>632</v>
      </c>
      <c r="H292" s="44">
        <v>760</v>
      </c>
      <c r="I292" s="44">
        <v>577</v>
      </c>
      <c r="J292" s="512">
        <v>676</v>
      </c>
      <c r="K292" s="512">
        <v>638</v>
      </c>
      <c r="L292" s="512">
        <v>606</v>
      </c>
      <c r="M292" s="512">
        <v>542</v>
      </c>
      <c r="N292" s="513"/>
      <c r="O292" s="513"/>
      <c r="Q292" s="513"/>
    </row>
    <row r="293" spans="2:17" ht="15" thickBot="1">
      <c r="B293" s="754" t="s">
        <v>10</v>
      </c>
      <c r="C293" s="1174">
        <v>1211</v>
      </c>
      <c r="D293" s="1390">
        <v>836</v>
      </c>
      <c r="E293" s="75">
        <v>811</v>
      </c>
      <c r="F293" s="75">
        <v>659</v>
      </c>
      <c r="G293" s="75">
        <v>402</v>
      </c>
      <c r="H293" s="75">
        <v>891</v>
      </c>
      <c r="I293" s="75">
        <v>488</v>
      </c>
      <c r="J293" s="514">
        <v>818</v>
      </c>
      <c r="K293" s="514">
        <v>927</v>
      </c>
      <c r="L293" s="514">
        <v>492</v>
      </c>
      <c r="M293" s="514">
        <v>600</v>
      </c>
      <c r="N293" s="513"/>
      <c r="O293" s="513"/>
      <c r="Q293" s="513"/>
    </row>
    <row r="294" spans="2:17" ht="15" thickBot="1">
      <c r="B294" s="754" t="s">
        <v>1141</v>
      </c>
      <c r="C294" s="1174">
        <v>809</v>
      </c>
      <c r="D294" s="1390">
        <v>766</v>
      </c>
      <c r="E294" s="75">
        <v>616</v>
      </c>
      <c r="F294" s="75">
        <v>596</v>
      </c>
      <c r="G294" s="75">
        <v>461</v>
      </c>
      <c r="H294" s="75">
        <v>622</v>
      </c>
      <c r="I294" s="75">
        <v>331</v>
      </c>
      <c r="J294" s="514">
        <v>575</v>
      </c>
      <c r="K294" s="514">
        <v>750</v>
      </c>
      <c r="L294" s="514">
        <v>556</v>
      </c>
      <c r="M294" s="514">
        <v>473</v>
      </c>
      <c r="N294" s="513"/>
      <c r="O294" s="513"/>
      <c r="Q294" s="513"/>
    </row>
    <row r="295" spans="2:17">
      <c r="B295" s="751" t="s">
        <v>129</v>
      </c>
      <c r="C295" s="1419">
        <f>C296-C294-C293-C292-C291-C290-C289-C288-C287-C286</f>
        <v>3663</v>
      </c>
      <c r="D295" s="1169">
        <f>D296-D294-D293-D292-D291-D290-D289-D288-D287-D286</f>
        <v>2274</v>
      </c>
      <c r="E295" s="39">
        <f>E296-E294-E293-E292-E291-E290-E289-E288-E287-E286</f>
        <v>2294</v>
      </c>
      <c r="F295" s="39">
        <v>2031</v>
      </c>
      <c r="G295" s="39">
        <v>1725</v>
      </c>
      <c r="H295" s="39">
        <v>2021</v>
      </c>
      <c r="I295" s="39">
        <v>3262</v>
      </c>
      <c r="J295" s="513">
        <v>2218</v>
      </c>
      <c r="K295" s="513">
        <v>2061</v>
      </c>
      <c r="L295" s="513">
        <v>1835</v>
      </c>
      <c r="M295" s="513">
        <v>1066</v>
      </c>
      <c r="N295" s="513"/>
      <c r="O295" s="513"/>
      <c r="Q295" s="513"/>
    </row>
    <row r="296" spans="2:17">
      <c r="B296" s="261" t="s">
        <v>52</v>
      </c>
      <c r="C296" s="266">
        <v>49082</v>
      </c>
      <c r="D296" s="266">
        <v>43440</v>
      </c>
      <c r="E296" s="266">
        <v>56153</v>
      </c>
      <c r="F296" s="266">
        <v>55891</v>
      </c>
      <c r="G296" s="266">
        <v>89011</v>
      </c>
      <c r="H296" s="266">
        <v>78267</v>
      </c>
      <c r="I296" s="266">
        <v>93865</v>
      </c>
      <c r="J296" s="266">
        <v>101579</v>
      </c>
      <c r="K296" s="266">
        <v>68822</v>
      </c>
      <c r="L296" s="266">
        <v>58650</v>
      </c>
      <c r="M296" s="266">
        <v>59367</v>
      </c>
      <c r="N296" s="126"/>
      <c r="O296" s="126"/>
      <c r="Q296" s="126"/>
    </row>
    <row r="297" spans="2:17">
      <c r="B297" s="41" t="s">
        <v>2019</v>
      </c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</row>
    <row r="298" spans="2:17"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</row>
    <row r="300" spans="2:17" ht="15.6">
      <c r="B300" s="86"/>
    </row>
    <row r="301" spans="2:17">
      <c r="B301" s="260"/>
    </row>
    <row r="302" spans="2:17">
      <c r="B302" s="279"/>
      <c r="C302" s="279"/>
      <c r="D302" s="279"/>
      <c r="E302" s="279"/>
      <c r="F302" s="279"/>
      <c r="G302" s="279"/>
      <c r="H302" s="279"/>
      <c r="I302" s="279"/>
      <c r="J302" s="279"/>
      <c r="K302" s="279"/>
      <c r="L302" s="757"/>
      <c r="M302" s="279"/>
      <c r="N302" s="757"/>
      <c r="O302" s="279"/>
      <c r="P302" s="757"/>
    </row>
    <row r="303" spans="2:17">
      <c r="B303" s="154"/>
      <c r="C303" s="39"/>
      <c r="D303" s="39"/>
      <c r="E303" s="39"/>
      <c r="F303" s="39"/>
      <c r="G303" s="39"/>
      <c r="H303" s="39"/>
      <c r="I303" s="39"/>
      <c r="J303" s="746"/>
      <c r="K303" s="746"/>
      <c r="L303" s="746"/>
      <c r="M303" s="746"/>
      <c r="N303" s="746"/>
      <c r="O303" s="746"/>
      <c r="P303" s="746"/>
    </row>
    <row r="304" spans="2:17">
      <c r="B304" s="154"/>
      <c r="C304" s="39"/>
      <c r="D304" s="39"/>
      <c r="E304" s="39"/>
      <c r="F304" s="39"/>
      <c r="G304" s="39"/>
      <c r="H304" s="39"/>
      <c r="I304" s="39"/>
      <c r="J304" s="746"/>
      <c r="K304" s="746"/>
      <c r="L304" s="747"/>
      <c r="M304" s="747"/>
      <c r="N304" s="747"/>
      <c r="O304" s="747"/>
      <c r="P304" s="747"/>
    </row>
    <row r="305" spans="2:16">
      <c r="B305" s="154"/>
      <c r="C305" s="39"/>
      <c r="D305" s="39"/>
      <c r="E305" s="39"/>
      <c r="F305" s="39"/>
      <c r="G305" s="39"/>
      <c r="H305" s="39"/>
      <c r="I305" s="39"/>
      <c r="J305" s="746"/>
      <c r="K305" s="746"/>
      <c r="L305" s="747"/>
      <c r="M305" s="747"/>
      <c r="N305" s="747"/>
      <c r="O305" s="747"/>
      <c r="P305" s="747"/>
    </row>
    <row r="306" spans="2:16">
      <c r="B306" s="154"/>
      <c r="C306" s="39"/>
      <c r="D306" s="39"/>
      <c r="E306" s="39"/>
      <c r="F306" s="39"/>
      <c r="G306" s="39"/>
      <c r="H306" s="39"/>
      <c r="I306" s="39"/>
      <c r="J306" s="746"/>
      <c r="K306" s="746"/>
      <c r="L306" s="747"/>
      <c r="M306" s="747"/>
      <c r="N306" s="747"/>
      <c r="O306" s="747"/>
      <c r="P306" s="747"/>
    </row>
    <row r="307" spans="2:16">
      <c r="B307" s="755"/>
      <c r="C307" s="756"/>
      <c r="D307" s="756"/>
      <c r="E307" s="756"/>
      <c r="F307" s="756"/>
      <c r="G307" s="756"/>
      <c r="H307" s="756"/>
      <c r="I307" s="756"/>
      <c r="J307" s="756"/>
      <c r="K307" s="756"/>
      <c r="L307" s="756"/>
      <c r="M307" s="756"/>
      <c r="N307" s="756"/>
      <c r="O307" s="756"/>
      <c r="P307" s="756"/>
    </row>
    <row r="308" spans="2:16">
      <c r="B308" s="553"/>
    </row>
  </sheetData>
  <mergeCells count="3">
    <mergeCell ref="C51:M51"/>
    <mergeCell ref="C86:L86"/>
    <mergeCell ref="C100:K100"/>
  </mergeCells>
  <phoneticPr fontId="138" type="noConversion"/>
  <hyperlinks>
    <hyperlink ref="B21" r:id="rId1" display="Source: Wolrdbank, 2017, World Development Indicators " xr:uid="{00000000-0004-0000-1800-000000000000}"/>
    <hyperlink ref="B30" r:id="rId2" xr:uid="{00000000-0004-0000-1800-000001000000}"/>
    <hyperlink ref="B39" r:id="rId3" display="Source: Statistics Bureau Japan, Family income and expenditure survey , Table 10 " xr:uid="{00000000-0004-0000-1800-000002000000}"/>
    <hyperlink ref="B46" r:id="rId4" display="Source: Statistics Bureau Japan, Family income and expenditure survey , Table 10" xr:uid="{00000000-0004-0000-1800-000003000000}"/>
    <hyperlink ref="B122" r:id="rId5" display="Source: Statistics of Japan, 2015 Census of Agriculture and Forestry" xr:uid="{00000000-0004-0000-1800-000004000000}"/>
    <hyperlink ref="B95" r:id="rId6" location="13" display="Source: Statistics Department, Ministry of Agriculture, Forestry and  Fisheries, Statistical Yearbook, Number 96,  2020/21" xr:uid="{00000000-0004-0000-1800-000005000000}"/>
    <hyperlink ref="B109" r:id="rId7" location="7" xr:uid="{00000000-0004-0000-1800-000006000000}"/>
    <hyperlink ref="B80" r:id="rId8" display="Source: Statistics Bureau, Ministry of Internal Affairs and Communication, Japan Statistical Yearbook 2024 , Chapter 8, Table 8-9" xr:uid="{00000000-0004-0000-1800-000007000000}"/>
    <hyperlink ref="H183" r:id="rId9" display="Source: Current Staus of Flowers and Plants in Japan, Ministry of Agriculture, Forestry and Fisheries" xr:uid="{00000000-0004-0000-1800-000008000000}"/>
    <hyperlink ref="B144" r:id="rId10" display="Source: &quot;Statistics on Production and Shipment of Flowers&quot; by the Statistics Department of MAFF in Statistics Department, Ministry of Agriculture, Forestry and  Fisheries, Statistical Yearbook, Number 97,  2020/21" xr:uid="{00000000-0004-0000-1800-000009000000}"/>
    <hyperlink ref="B156" r:id="rId11" location="13" display="Source: &quot;Statistics on Production and Shipment of Flowers&quot; by the Statistics Department of MAFF in Statistics Department, Ministry of Agriculture, Forestry and  Fisheries, Statistical Yearbook, Number 94,  2018/19" xr:uid="{00000000-0004-0000-1800-00000A000000}"/>
    <hyperlink ref="B249" r:id="rId12" display="Source: ITC Trade map, 2018" xr:uid="{00000000-0004-0000-1800-00000B000000}"/>
    <hyperlink ref="B269" r:id="rId13" display="Source: ITC Trade map, 2018" xr:uid="{00000000-0004-0000-1800-00000C000000}"/>
    <hyperlink ref="B224" r:id="rId14" display="Source: ITC Trade map, 2018" xr:uid="{00000000-0004-0000-1800-00000D000000}"/>
    <hyperlink ref="B199" r:id="rId15" display="Source: ITC Trade map, 2018" xr:uid="{00000000-0004-0000-1800-00000E000000}"/>
    <hyperlink ref="B281" r:id="rId16" display="Source: ITC Trade map, 2018" xr:uid="{00000000-0004-0000-1800-00000F000000}"/>
    <hyperlink ref="B297" r:id="rId17" display="Source: ITC Trade map, 2018" xr:uid="{00000000-0004-0000-1800-000010000000}"/>
  </hyperlinks>
  <pageMargins left="0.7" right="0.7" top="0.78740157499999996" bottom="0.78740157499999996" header="0.3" footer="0.3"/>
  <drawing r:id="rId18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B050"/>
  </sheetPr>
  <dimension ref="B2:P122"/>
  <sheetViews>
    <sheetView topLeftCell="A53" workbookViewId="0">
      <selection activeCell="C109" sqref="C109"/>
    </sheetView>
  </sheetViews>
  <sheetFormatPr defaultColWidth="11.44140625" defaultRowHeight="14.4"/>
  <cols>
    <col min="2" max="2" width="24.6640625" customWidth="1"/>
    <col min="3" max="6" width="11.88671875" customWidth="1"/>
  </cols>
  <sheetData>
    <row r="2" spans="2:4" ht="15.6">
      <c r="B2" s="83" t="s">
        <v>1298</v>
      </c>
    </row>
    <row r="3" spans="2:4" ht="15.6">
      <c r="B3" s="83"/>
    </row>
    <row r="4" spans="2:4" ht="15.6">
      <c r="B4" s="83" t="s">
        <v>2417</v>
      </c>
    </row>
    <row r="5" spans="2:4" ht="15.6">
      <c r="B5" s="83"/>
    </row>
    <row r="6" spans="2:4" ht="15" customHeight="1">
      <c r="B6" s="13" t="s">
        <v>530</v>
      </c>
      <c r="C6" s="239">
        <v>56.4</v>
      </c>
      <c r="D6" s="240" t="s">
        <v>1186</v>
      </c>
    </row>
    <row r="7" spans="2:4">
      <c r="B7" s="13" t="s">
        <v>532</v>
      </c>
      <c r="C7" s="758">
        <v>580400</v>
      </c>
      <c r="D7" s="240" t="s">
        <v>533</v>
      </c>
    </row>
    <row r="8" spans="2:4" ht="26.4">
      <c r="B8" s="242" t="s">
        <v>534</v>
      </c>
      <c r="C8" s="243">
        <v>95</v>
      </c>
      <c r="D8" s="244" t="s">
        <v>535</v>
      </c>
    </row>
    <row r="9" spans="2:4" ht="15" customHeight="1">
      <c r="B9" s="245"/>
      <c r="C9" s="246"/>
      <c r="D9" s="240"/>
    </row>
    <row r="10" spans="2:4" ht="15.6">
      <c r="B10" s="13" t="s">
        <v>536</v>
      </c>
      <c r="C10" s="247">
        <v>119</v>
      </c>
      <c r="D10" s="240" t="s">
        <v>537</v>
      </c>
    </row>
    <row r="11" spans="2:4" ht="15" customHeight="1">
      <c r="B11" s="245" t="s">
        <v>538</v>
      </c>
      <c r="C11" s="246">
        <v>2110</v>
      </c>
      <c r="D11" s="240" t="s">
        <v>539</v>
      </c>
    </row>
    <row r="12" spans="2:4">
      <c r="B12" s="13" t="s">
        <v>540</v>
      </c>
      <c r="C12" s="247">
        <v>368</v>
      </c>
      <c r="D12" s="240" t="s">
        <v>537</v>
      </c>
    </row>
    <row r="13" spans="2:4">
      <c r="B13" s="245" t="s">
        <v>594</v>
      </c>
      <c r="C13" s="246"/>
      <c r="D13" s="240"/>
    </row>
    <row r="14" spans="2:4" ht="26.4">
      <c r="B14" s="245" t="s">
        <v>538</v>
      </c>
      <c r="C14" s="246">
        <v>6520</v>
      </c>
      <c r="D14" s="240" t="s">
        <v>542</v>
      </c>
    </row>
    <row r="15" spans="2:4" ht="15" customHeight="1">
      <c r="B15" s="248"/>
      <c r="C15" s="249"/>
      <c r="D15" s="244"/>
    </row>
    <row r="16" spans="2:4">
      <c r="B16" s="13" t="s">
        <v>543</v>
      </c>
      <c r="C16" s="239">
        <v>4.5</v>
      </c>
      <c r="D16" s="240" t="s">
        <v>544</v>
      </c>
    </row>
    <row r="17" spans="2:5" ht="26.4">
      <c r="B17" s="13" t="s">
        <v>545</v>
      </c>
      <c r="C17" s="239">
        <v>2.5</v>
      </c>
      <c r="D17" s="240" t="s">
        <v>546</v>
      </c>
    </row>
    <row r="18" spans="2:5">
      <c r="B18" s="245"/>
      <c r="C18" s="246"/>
      <c r="D18" s="246"/>
      <c r="E18" s="240"/>
    </row>
    <row r="19" spans="2:5">
      <c r="B19" s="250" t="s">
        <v>595</v>
      </c>
      <c r="C19" s="251"/>
      <c r="D19" s="251"/>
      <c r="E19" s="251"/>
    </row>
    <row r="20" spans="2:5">
      <c r="B20" s="252" t="s">
        <v>2415</v>
      </c>
      <c r="C20" s="253"/>
      <c r="D20" s="253"/>
      <c r="E20" s="82"/>
    </row>
    <row r="23" spans="2:5" ht="15.6">
      <c r="B23" s="83" t="s">
        <v>134</v>
      </c>
      <c r="C23" s="93"/>
      <c r="D23" s="93"/>
    </row>
    <row r="24" spans="2:5">
      <c r="B24" s="93" t="s">
        <v>46</v>
      </c>
      <c r="C24" s="93"/>
      <c r="D24" s="93"/>
    </row>
    <row r="25" spans="2:5">
      <c r="B25" s="322"/>
      <c r="C25" s="322">
        <v>2012</v>
      </c>
      <c r="D25" s="322">
        <v>2011</v>
      </c>
      <c r="E25" s="317">
        <v>2010</v>
      </c>
    </row>
    <row r="26" spans="2:5">
      <c r="B26" s="324" t="s">
        <v>113</v>
      </c>
      <c r="C26" s="325">
        <v>2163.8000000000002</v>
      </c>
      <c r="D26" s="320">
        <v>2597</v>
      </c>
      <c r="E26" s="320">
        <v>2674</v>
      </c>
    </row>
    <row r="27" spans="2:5">
      <c r="B27" s="326" t="s">
        <v>714</v>
      </c>
      <c r="C27" s="327">
        <v>252</v>
      </c>
      <c r="D27" s="328">
        <v>157</v>
      </c>
      <c r="E27" s="328">
        <v>160</v>
      </c>
    </row>
    <row r="28" spans="2:5">
      <c r="B28" s="326" t="s">
        <v>803</v>
      </c>
      <c r="C28" s="327">
        <v>80</v>
      </c>
      <c r="D28" s="328">
        <v>78</v>
      </c>
      <c r="E28" s="328" t="s">
        <v>1299</v>
      </c>
    </row>
    <row r="29" spans="2:5">
      <c r="B29" s="326" t="s">
        <v>1300</v>
      </c>
      <c r="C29" s="327">
        <v>140</v>
      </c>
      <c r="D29" s="328">
        <v>92</v>
      </c>
      <c r="E29" s="328">
        <v>286</v>
      </c>
    </row>
    <row r="30" spans="2:5">
      <c r="B30" s="326" t="s">
        <v>1301</v>
      </c>
      <c r="C30" s="327">
        <v>1073</v>
      </c>
      <c r="D30" s="328">
        <v>24</v>
      </c>
      <c r="E30" s="328">
        <v>152</v>
      </c>
    </row>
    <row r="31" spans="2:5">
      <c r="B31" s="326" t="s">
        <v>1302</v>
      </c>
      <c r="C31" s="327">
        <v>55</v>
      </c>
      <c r="D31" s="328">
        <v>52</v>
      </c>
      <c r="E31" s="328">
        <v>25</v>
      </c>
    </row>
    <row r="32" spans="2:5">
      <c r="B32" s="326" t="s">
        <v>201</v>
      </c>
      <c r="C32" s="327">
        <v>38</v>
      </c>
      <c r="D32" s="328">
        <v>55</v>
      </c>
      <c r="E32" s="328">
        <v>55</v>
      </c>
    </row>
    <row r="33" spans="2:5">
      <c r="B33" s="326" t="s">
        <v>1303</v>
      </c>
      <c r="C33" s="327">
        <v>176</v>
      </c>
      <c r="D33" s="328">
        <v>56</v>
      </c>
      <c r="E33" s="328">
        <v>20</v>
      </c>
    </row>
    <row r="34" spans="2:5">
      <c r="B34" s="326" t="s">
        <v>121</v>
      </c>
      <c r="C34" s="327">
        <v>3</v>
      </c>
      <c r="D34" s="328">
        <v>7</v>
      </c>
      <c r="E34" s="328" t="s">
        <v>1299</v>
      </c>
    </row>
    <row r="35" spans="2:5">
      <c r="B35" s="326" t="s">
        <v>1304</v>
      </c>
      <c r="C35" s="327">
        <v>155</v>
      </c>
      <c r="D35" s="328">
        <v>26</v>
      </c>
      <c r="E35" s="328" t="s">
        <v>1299</v>
      </c>
    </row>
    <row r="36" spans="2:5">
      <c r="B36" s="759"/>
      <c r="C36" s="23"/>
    </row>
    <row r="37" spans="2:5">
      <c r="B37" s="760" t="s">
        <v>52</v>
      </c>
      <c r="C37" s="319">
        <v>4039</v>
      </c>
      <c r="D37" s="319">
        <v>3213</v>
      </c>
      <c r="E37" s="319">
        <v>3419</v>
      </c>
    </row>
    <row r="38" spans="2:5">
      <c r="B38" s="41" t="s">
        <v>1305</v>
      </c>
      <c r="D38" s="23"/>
      <c r="E38" s="23"/>
    </row>
    <row r="41" spans="2:5" ht="15.6">
      <c r="B41" s="86" t="s">
        <v>1306</v>
      </c>
      <c r="C41" s="86"/>
      <c r="D41" s="86"/>
      <c r="E41" s="643"/>
    </row>
    <row r="42" spans="2:5">
      <c r="B42" s="7"/>
      <c r="C42" s="7"/>
      <c r="D42" s="7"/>
      <c r="E42" s="7"/>
    </row>
    <row r="43" spans="2:5">
      <c r="B43" s="7"/>
      <c r="C43" s="7"/>
      <c r="D43" s="7"/>
      <c r="E43" s="7"/>
    </row>
    <row r="44" spans="2:5">
      <c r="B44" s="290" t="s">
        <v>1307</v>
      </c>
      <c r="C44" s="290"/>
      <c r="D44" s="290"/>
      <c r="E44" s="290"/>
    </row>
    <row r="45" spans="2:5">
      <c r="B45" s="290" t="s">
        <v>1308</v>
      </c>
      <c r="C45" s="290"/>
      <c r="D45" s="290"/>
      <c r="E45" s="290"/>
    </row>
    <row r="47" spans="2:5">
      <c r="B47" s="159" t="s">
        <v>134</v>
      </c>
      <c r="C47" s="1555" t="s">
        <v>817</v>
      </c>
      <c r="D47" s="1555"/>
    </row>
    <row r="48" spans="2:5">
      <c r="B48" s="159"/>
      <c r="C48" s="162" t="s">
        <v>722</v>
      </c>
      <c r="D48" s="162" t="s">
        <v>818</v>
      </c>
    </row>
    <row r="49" spans="2:15">
      <c r="B49" s="159" t="s">
        <v>52</v>
      </c>
      <c r="C49" s="663">
        <v>2496</v>
      </c>
      <c r="D49" s="663">
        <v>100</v>
      </c>
    </row>
    <row r="50" spans="2:15">
      <c r="B50" s="290" t="s">
        <v>1309</v>
      </c>
      <c r="C50" s="761">
        <v>1556</v>
      </c>
      <c r="D50" s="761">
        <v>62</v>
      </c>
    </row>
    <row r="51" spans="2:15">
      <c r="B51" s="290" t="s">
        <v>1310</v>
      </c>
      <c r="C51" s="761">
        <v>444</v>
      </c>
      <c r="D51" s="761">
        <v>18</v>
      </c>
    </row>
    <row r="52" spans="2:15">
      <c r="B52" s="290" t="s">
        <v>1311</v>
      </c>
      <c r="C52" s="761">
        <v>355</v>
      </c>
      <c r="D52" s="761">
        <v>14</v>
      </c>
    </row>
    <row r="53" spans="2:15">
      <c r="B53" s="290" t="s">
        <v>1312</v>
      </c>
      <c r="C53" s="761">
        <v>127</v>
      </c>
      <c r="D53" s="761">
        <v>5</v>
      </c>
    </row>
    <row r="54" spans="2:15">
      <c r="B54" s="290" t="s">
        <v>1313</v>
      </c>
      <c r="C54" s="761">
        <v>14</v>
      </c>
      <c r="D54" s="761">
        <v>1</v>
      </c>
    </row>
    <row r="55" spans="2:15">
      <c r="B55" s="41" t="s">
        <v>1305</v>
      </c>
    </row>
    <row r="58" spans="2:15" ht="15.6">
      <c r="B58" s="86" t="s">
        <v>1314</v>
      </c>
    </row>
    <row r="60" spans="2:15" ht="15.6">
      <c r="B60" s="83" t="s">
        <v>587</v>
      </c>
      <c r="C60" s="83"/>
      <c r="D60" s="83"/>
      <c r="E60" s="83"/>
      <c r="F60" s="83"/>
      <c r="G60" s="83"/>
    </row>
    <row r="61" spans="2:15" ht="15.6">
      <c r="B61" s="1" t="s">
        <v>732</v>
      </c>
      <c r="C61" s="83"/>
      <c r="D61" s="83"/>
      <c r="E61" s="83"/>
      <c r="F61" s="83"/>
      <c r="G61" s="83"/>
    </row>
    <row r="62" spans="2:15">
      <c r="B62" s="317"/>
      <c r="C62" s="317">
        <v>2024</v>
      </c>
      <c r="D62" s="317">
        <v>2023</v>
      </c>
      <c r="E62" s="317">
        <v>2022</v>
      </c>
      <c r="F62" s="317">
        <v>2021</v>
      </c>
      <c r="G62" s="317">
        <v>2020</v>
      </c>
      <c r="H62" s="317">
        <v>2019</v>
      </c>
      <c r="I62" s="317">
        <v>2018</v>
      </c>
      <c r="J62" s="317">
        <v>2017</v>
      </c>
      <c r="K62" s="317">
        <v>2016</v>
      </c>
      <c r="L62" s="317">
        <v>2015</v>
      </c>
      <c r="M62" s="317">
        <v>2014</v>
      </c>
      <c r="N62" s="479"/>
      <c r="O62" s="479"/>
    </row>
    <row r="63" spans="2:15" ht="15" thickBot="1">
      <c r="B63" s="762" t="s">
        <v>583</v>
      </c>
      <c r="C63" s="1280">
        <v>668051</v>
      </c>
      <c r="D63" s="1391">
        <v>617246</v>
      </c>
      <c r="E63" s="336">
        <v>600531</v>
      </c>
      <c r="F63" s="336">
        <v>613311</v>
      </c>
      <c r="G63" s="336">
        <v>501324</v>
      </c>
      <c r="H63" s="336">
        <v>521841</v>
      </c>
      <c r="I63" s="336">
        <v>486866</v>
      </c>
      <c r="J63" s="336">
        <v>478739</v>
      </c>
      <c r="K63" s="336">
        <v>460487</v>
      </c>
      <c r="L63" s="336">
        <v>431288</v>
      </c>
      <c r="M63" s="336">
        <v>416036</v>
      </c>
      <c r="N63" s="39"/>
      <c r="O63" s="39"/>
    </row>
    <row r="64" spans="2:15" ht="15" thickBot="1">
      <c r="B64" s="762" t="s">
        <v>1294</v>
      </c>
      <c r="C64" s="1280">
        <v>66228</v>
      </c>
      <c r="D64" s="1391">
        <v>57934</v>
      </c>
      <c r="E64" s="336">
        <v>61676</v>
      </c>
      <c r="F64" s="336">
        <v>66674</v>
      </c>
      <c r="G64" s="336">
        <v>54923</v>
      </c>
      <c r="H64" s="336">
        <v>52531</v>
      </c>
      <c r="I64" s="336">
        <v>42763</v>
      </c>
      <c r="J64" s="336">
        <v>48097</v>
      </c>
      <c r="K64" s="336">
        <v>41576</v>
      </c>
      <c r="L64" s="336">
        <v>42609</v>
      </c>
      <c r="M64" s="336">
        <v>50131</v>
      </c>
      <c r="N64" s="39"/>
      <c r="O64" s="39"/>
    </row>
    <row r="65" spans="2:16" ht="15" thickBot="1">
      <c r="B65" s="762" t="s">
        <v>1315</v>
      </c>
      <c r="C65" s="1280">
        <v>1090</v>
      </c>
      <c r="D65" s="1391">
        <v>1029</v>
      </c>
      <c r="E65" s="336">
        <v>916</v>
      </c>
      <c r="F65" s="336">
        <v>680</v>
      </c>
      <c r="G65" s="336">
        <v>409</v>
      </c>
      <c r="H65" s="336">
        <v>824</v>
      </c>
      <c r="I65" s="336">
        <v>146</v>
      </c>
      <c r="J65" s="336">
        <v>268</v>
      </c>
      <c r="K65" s="336">
        <v>240</v>
      </c>
      <c r="L65" s="336">
        <v>268</v>
      </c>
      <c r="M65" s="336">
        <v>234</v>
      </c>
      <c r="N65" s="39"/>
      <c r="O65" s="39"/>
    </row>
    <row r="66" spans="2:16">
      <c r="B66" s="764" t="s">
        <v>1316</v>
      </c>
      <c r="C66" s="1281">
        <v>27</v>
      </c>
      <c r="D66" s="1392">
        <v>2</v>
      </c>
      <c r="E66" s="765">
        <v>82</v>
      </c>
      <c r="F66" s="765">
        <v>16</v>
      </c>
      <c r="G66" s="765">
        <v>4</v>
      </c>
      <c r="H66" s="765">
        <v>40</v>
      </c>
      <c r="I66" s="765">
        <v>50</v>
      </c>
      <c r="J66" s="765">
        <v>107</v>
      </c>
      <c r="K66" s="765">
        <v>46</v>
      </c>
      <c r="L66" s="765">
        <v>350</v>
      </c>
      <c r="M66" s="765">
        <v>670</v>
      </c>
      <c r="N66" s="39"/>
      <c r="O66" s="39"/>
    </row>
    <row r="67" spans="2:16">
      <c r="B67" s="127" t="s">
        <v>3</v>
      </c>
      <c r="C67" s="73">
        <f>C63+C64+C65+C66</f>
        <v>735396</v>
      </c>
      <c r="D67" s="73">
        <f>D63+D64+D65+D66</f>
        <v>676211</v>
      </c>
      <c r="E67" s="73">
        <f>E63+E64+E65+E66</f>
        <v>663205</v>
      </c>
      <c r="F67" s="73">
        <f>F63+F64+F65+F66</f>
        <v>680681</v>
      </c>
      <c r="G67" s="73">
        <v>556660</v>
      </c>
      <c r="H67" s="73">
        <v>575236</v>
      </c>
      <c r="I67" s="73">
        <v>529825</v>
      </c>
      <c r="J67" s="73">
        <v>527211</v>
      </c>
      <c r="K67" s="73">
        <v>502349</v>
      </c>
      <c r="L67" s="73">
        <v>474515</v>
      </c>
      <c r="M67" s="73">
        <v>467071</v>
      </c>
      <c r="N67" s="126"/>
      <c r="O67" s="126"/>
    </row>
    <row r="68" spans="2:16">
      <c r="B68" s="269" t="s">
        <v>2019</v>
      </c>
    </row>
    <row r="69" spans="2:16">
      <c r="B69" s="269"/>
    </row>
    <row r="70" spans="2:16">
      <c r="B70" s="269"/>
    </row>
    <row r="71" spans="2:16" ht="15.6">
      <c r="B71" s="1282" t="s">
        <v>1297</v>
      </c>
    </row>
    <row r="72" spans="2:16">
      <c r="B72" t="s">
        <v>1317</v>
      </c>
    </row>
    <row r="73" spans="2:16">
      <c r="B73" s="766" t="s">
        <v>590</v>
      </c>
      <c r="C73" s="317">
        <v>2024</v>
      </c>
      <c r="D73" s="317">
        <v>2023</v>
      </c>
      <c r="E73" s="317">
        <v>2022</v>
      </c>
      <c r="F73" s="317">
        <v>2021</v>
      </c>
      <c r="G73" s="317">
        <v>2020</v>
      </c>
      <c r="H73" s="317">
        <v>2019</v>
      </c>
      <c r="I73" s="317">
        <v>2018</v>
      </c>
      <c r="J73" s="317">
        <v>2017</v>
      </c>
      <c r="K73" s="317">
        <v>2016</v>
      </c>
      <c r="L73" s="317">
        <v>2015</v>
      </c>
      <c r="M73" s="317">
        <v>2014</v>
      </c>
      <c r="N73" s="479"/>
      <c r="O73" s="479"/>
      <c r="P73" s="479"/>
    </row>
    <row r="74" spans="2:16" ht="15" thickBot="1">
      <c r="B74" s="762" t="s">
        <v>13</v>
      </c>
      <c r="C74" s="1283">
        <v>301201</v>
      </c>
      <c r="D74" s="1393">
        <v>252894</v>
      </c>
      <c r="E74" s="336">
        <v>255650</v>
      </c>
      <c r="F74" s="336">
        <v>266815</v>
      </c>
      <c r="G74" s="336">
        <v>229634</v>
      </c>
      <c r="H74" s="336">
        <v>255561</v>
      </c>
      <c r="I74" s="336">
        <v>245285</v>
      </c>
      <c r="J74" s="336">
        <v>249000</v>
      </c>
      <c r="K74" s="336">
        <v>244840</v>
      </c>
      <c r="L74" s="336">
        <v>222313</v>
      </c>
      <c r="M74" s="336">
        <v>216909</v>
      </c>
      <c r="N74" s="39"/>
      <c r="O74" s="39"/>
    </row>
    <row r="75" spans="2:16" ht="15" thickBot="1">
      <c r="B75" s="337" t="s">
        <v>20</v>
      </c>
      <c r="C75" s="1284">
        <v>118002</v>
      </c>
      <c r="D75" s="1394">
        <v>106432</v>
      </c>
      <c r="E75" s="339">
        <v>104324</v>
      </c>
      <c r="F75" s="336">
        <v>119831</v>
      </c>
      <c r="G75" s="336">
        <v>103451</v>
      </c>
      <c r="H75" s="1094">
        <v>92319</v>
      </c>
      <c r="I75" s="1094">
        <v>80823</v>
      </c>
      <c r="J75" s="1094">
        <v>75369</v>
      </c>
      <c r="K75" s="1094">
        <v>76705</v>
      </c>
      <c r="L75" s="339">
        <v>82019</v>
      </c>
      <c r="M75" s="336">
        <v>80089</v>
      </c>
      <c r="N75" s="1220"/>
      <c r="O75" s="39"/>
    </row>
    <row r="76" spans="2:16" ht="15" thickBot="1">
      <c r="B76" s="337" t="s">
        <v>10</v>
      </c>
      <c r="C76" s="1284">
        <v>43387</v>
      </c>
      <c r="D76" s="1394">
        <v>26023</v>
      </c>
      <c r="E76" s="339">
        <v>25519</v>
      </c>
      <c r="F76" s="339">
        <v>30184</v>
      </c>
      <c r="G76" s="339">
        <v>26057</v>
      </c>
      <c r="H76" s="339">
        <v>24715</v>
      </c>
      <c r="I76" s="339">
        <v>20295</v>
      </c>
      <c r="J76" s="339">
        <v>17590</v>
      </c>
      <c r="K76" s="339">
        <v>17451</v>
      </c>
      <c r="L76" s="339">
        <v>16508</v>
      </c>
      <c r="M76" s="336">
        <v>16054</v>
      </c>
      <c r="N76" s="39"/>
      <c r="O76" s="39"/>
    </row>
    <row r="77" spans="2:16" ht="15" thickBot="1">
      <c r="B77" s="337" t="s">
        <v>1318</v>
      </c>
      <c r="C77" s="1284">
        <v>41233</v>
      </c>
      <c r="D77" s="1394">
        <v>38731</v>
      </c>
      <c r="E77" s="339">
        <v>39700</v>
      </c>
      <c r="F77" s="339">
        <v>27796</v>
      </c>
      <c r="G77" s="339">
        <v>17623</v>
      </c>
      <c r="H77" s="1094">
        <v>18134</v>
      </c>
      <c r="I77" s="1094">
        <v>13872</v>
      </c>
      <c r="J77" s="1094">
        <v>13113</v>
      </c>
      <c r="K77" s="1094">
        <v>12647</v>
      </c>
      <c r="L77" s="339">
        <v>8312</v>
      </c>
      <c r="M77" s="336">
        <v>4602</v>
      </c>
      <c r="N77" s="1220"/>
      <c r="O77" s="39"/>
    </row>
    <row r="78" spans="2:16" ht="15" thickBot="1">
      <c r="B78" s="337" t="s">
        <v>736</v>
      </c>
      <c r="C78" s="1284">
        <v>364</v>
      </c>
      <c r="D78" s="1394">
        <v>853</v>
      </c>
      <c r="E78" s="339">
        <v>9905</v>
      </c>
      <c r="F78" s="339">
        <v>27656</v>
      </c>
      <c r="G78" s="339">
        <v>19216</v>
      </c>
      <c r="H78" s="339">
        <v>17750</v>
      </c>
      <c r="I78" s="339">
        <v>18834</v>
      </c>
      <c r="J78" s="339">
        <v>18349</v>
      </c>
      <c r="K78" s="339">
        <v>13238</v>
      </c>
      <c r="L78" s="339">
        <v>13187</v>
      </c>
      <c r="M78" s="336">
        <v>16518</v>
      </c>
      <c r="N78" s="39"/>
      <c r="O78" s="39"/>
    </row>
    <row r="79" spans="2:16" ht="15" thickBot="1">
      <c r="B79" s="337" t="s">
        <v>836</v>
      </c>
      <c r="C79" s="1284">
        <v>32579</v>
      </c>
      <c r="D79" s="1394">
        <v>30238</v>
      </c>
      <c r="E79" s="339">
        <v>27962</v>
      </c>
      <c r="F79" s="339">
        <v>23286</v>
      </c>
      <c r="G79" s="339">
        <v>15799</v>
      </c>
      <c r="H79" s="1094">
        <v>18043</v>
      </c>
      <c r="I79" s="1094">
        <v>16092</v>
      </c>
      <c r="J79" s="1094">
        <v>13175</v>
      </c>
      <c r="K79" s="1094">
        <v>12098</v>
      </c>
      <c r="L79" s="339">
        <v>11097</v>
      </c>
      <c r="M79" s="336">
        <v>7788</v>
      </c>
      <c r="N79" s="1220"/>
      <c r="O79" s="39"/>
    </row>
    <row r="80" spans="2:16" ht="15" thickBot="1">
      <c r="B80" s="337" t="s">
        <v>14</v>
      </c>
      <c r="C80" s="1284">
        <v>23945</v>
      </c>
      <c r="D80" s="1394">
        <v>21491</v>
      </c>
      <c r="E80" s="339">
        <v>20036</v>
      </c>
      <c r="F80" s="339">
        <v>19345</v>
      </c>
      <c r="G80" s="339">
        <v>21462</v>
      </c>
      <c r="H80" s="339">
        <v>17916</v>
      </c>
      <c r="I80" s="339">
        <v>17260</v>
      </c>
      <c r="J80" s="339">
        <v>17859</v>
      </c>
      <c r="K80" s="339">
        <v>16467</v>
      </c>
      <c r="L80" s="339">
        <v>14560</v>
      </c>
      <c r="M80" s="336">
        <v>12208</v>
      </c>
      <c r="N80" s="39"/>
      <c r="O80" s="39"/>
    </row>
    <row r="81" spans="2:15" ht="15" thickBot="1">
      <c r="B81" s="337" t="s">
        <v>26</v>
      </c>
      <c r="C81" s="1284">
        <v>12835</v>
      </c>
      <c r="D81" s="1394">
        <v>12441</v>
      </c>
      <c r="E81" s="339">
        <v>13966</v>
      </c>
      <c r="F81" s="339">
        <v>10827</v>
      </c>
      <c r="G81" s="339">
        <v>9645</v>
      </c>
      <c r="H81" s="1094">
        <v>12303</v>
      </c>
      <c r="I81" s="1094">
        <v>12504</v>
      </c>
      <c r="J81" s="1094">
        <v>11953</v>
      </c>
      <c r="K81" s="1094">
        <v>11464</v>
      </c>
      <c r="L81" s="339">
        <v>11951</v>
      </c>
      <c r="M81" s="336">
        <v>17572</v>
      </c>
      <c r="N81" s="1220"/>
      <c r="O81" s="39"/>
    </row>
    <row r="82" spans="2:15" ht="15" thickBot="1">
      <c r="B82" s="337" t="s">
        <v>1719</v>
      </c>
      <c r="C82" s="1284">
        <v>155</v>
      </c>
      <c r="D82" s="1394">
        <v>147</v>
      </c>
      <c r="E82" s="339">
        <v>101</v>
      </c>
      <c r="F82" s="339">
        <v>10367</v>
      </c>
      <c r="G82" s="339">
        <v>61</v>
      </c>
      <c r="H82" s="339">
        <v>102</v>
      </c>
      <c r="I82" s="339">
        <v>55</v>
      </c>
      <c r="J82" s="339">
        <v>31</v>
      </c>
      <c r="K82" s="339">
        <v>47</v>
      </c>
      <c r="L82" s="339">
        <v>43</v>
      </c>
      <c r="M82" s="336">
        <v>56</v>
      </c>
      <c r="N82" s="39"/>
      <c r="O82" s="39"/>
    </row>
    <row r="83" spans="2:15" ht="15" thickBot="1">
      <c r="B83" s="337" t="s">
        <v>19</v>
      </c>
      <c r="C83" s="1284">
        <v>9976</v>
      </c>
      <c r="D83" s="1394">
        <v>10237</v>
      </c>
      <c r="E83" s="339">
        <v>9544</v>
      </c>
      <c r="F83" s="339">
        <v>9717</v>
      </c>
      <c r="G83" s="339">
        <v>7957</v>
      </c>
      <c r="H83" s="1094">
        <v>6866</v>
      </c>
      <c r="I83" s="1094">
        <v>6244</v>
      </c>
      <c r="J83" s="1094">
        <v>5756</v>
      </c>
      <c r="K83" s="1094">
        <v>6206</v>
      </c>
      <c r="L83" s="339">
        <v>5602</v>
      </c>
      <c r="M83" s="336">
        <v>4734</v>
      </c>
      <c r="N83" s="1220"/>
      <c r="O83" s="39"/>
    </row>
    <row r="84" spans="2:15" ht="15" thickBot="1">
      <c r="B84" s="337" t="s">
        <v>9</v>
      </c>
      <c r="C84" s="1284">
        <v>9440</v>
      </c>
      <c r="D84" s="1394">
        <v>8242</v>
      </c>
      <c r="E84" s="339">
        <v>8579</v>
      </c>
      <c r="F84" s="339">
        <v>8136</v>
      </c>
      <c r="G84" s="339">
        <v>5908</v>
      </c>
      <c r="H84" s="339">
        <v>6601</v>
      </c>
      <c r="I84" s="339">
        <v>6258</v>
      </c>
      <c r="J84" s="339">
        <v>5689</v>
      </c>
      <c r="K84" s="339">
        <v>5586</v>
      </c>
      <c r="L84" s="339">
        <v>5572</v>
      </c>
      <c r="M84" s="336">
        <v>5123</v>
      </c>
      <c r="N84" s="39"/>
      <c r="O84" s="39"/>
    </row>
    <row r="85" spans="2:15" ht="15" thickBot="1">
      <c r="B85" s="337" t="s">
        <v>30</v>
      </c>
      <c r="C85" s="1284">
        <v>7678</v>
      </c>
      <c r="D85" s="1394">
        <v>6427</v>
      </c>
      <c r="E85" s="339">
        <v>7427</v>
      </c>
      <c r="F85" s="339">
        <v>7406</v>
      </c>
      <c r="G85" s="339">
        <v>4806</v>
      </c>
      <c r="H85" s="1094">
        <v>6138</v>
      </c>
      <c r="I85" s="1094">
        <v>6585</v>
      </c>
      <c r="J85" s="1094">
        <v>6669</v>
      </c>
      <c r="K85" s="1094">
        <v>6397</v>
      </c>
      <c r="L85" s="339">
        <v>6743</v>
      </c>
      <c r="M85" s="336">
        <v>6402</v>
      </c>
      <c r="N85" s="1220"/>
      <c r="O85" s="39"/>
    </row>
    <row r="86" spans="2:15" ht="15" thickBot="1">
      <c r="B86" s="337" t="s">
        <v>18</v>
      </c>
      <c r="C86" s="1284">
        <v>3362</v>
      </c>
      <c r="D86" s="1394">
        <v>3936</v>
      </c>
      <c r="E86" s="339">
        <v>4266</v>
      </c>
      <c r="F86" s="339">
        <v>5265</v>
      </c>
      <c r="G86" s="339">
        <v>4743</v>
      </c>
      <c r="H86" s="339">
        <v>5109</v>
      </c>
      <c r="I86" s="339">
        <v>5445</v>
      </c>
      <c r="J86" s="339">
        <v>5554</v>
      </c>
      <c r="K86" s="339">
        <v>5419</v>
      </c>
      <c r="L86" s="339">
        <v>5018</v>
      </c>
      <c r="M86" s="336">
        <v>5210</v>
      </c>
      <c r="N86" s="39"/>
      <c r="O86" s="39"/>
    </row>
    <row r="87" spans="2:15" ht="15" thickBot="1">
      <c r="B87" s="337" t="s">
        <v>833</v>
      </c>
      <c r="C87" s="1284">
        <v>5945</v>
      </c>
      <c r="D87" s="1394">
        <v>5500</v>
      </c>
      <c r="E87" s="339">
        <v>5579</v>
      </c>
      <c r="F87" s="339">
        <v>4486</v>
      </c>
      <c r="G87" s="339">
        <v>2262</v>
      </c>
      <c r="H87" s="1094">
        <v>1435</v>
      </c>
      <c r="I87" s="1094">
        <v>1150</v>
      </c>
      <c r="J87" s="1094">
        <v>1026</v>
      </c>
      <c r="K87" s="1094">
        <v>1029</v>
      </c>
      <c r="L87" s="339">
        <v>784</v>
      </c>
      <c r="M87" s="336">
        <v>616</v>
      </c>
      <c r="N87" s="1220"/>
      <c r="O87" s="39"/>
    </row>
    <row r="88" spans="2:15" ht="15" thickBot="1">
      <c r="B88" s="337" t="s">
        <v>12</v>
      </c>
      <c r="C88" s="1284">
        <v>7436</v>
      </c>
      <c r="D88" s="1394">
        <v>4265</v>
      </c>
      <c r="E88" s="339">
        <v>4286</v>
      </c>
      <c r="F88" s="339">
        <v>4247</v>
      </c>
      <c r="G88" s="339">
        <v>3634</v>
      </c>
      <c r="H88" s="339">
        <v>4672</v>
      </c>
      <c r="I88" s="339">
        <v>4639</v>
      </c>
      <c r="J88" s="339">
        <v>3491</v>
      </c>
      <c r="K88" s="339">
        <v>3157</v>
      </c>
      <c r="L88" s="339">
        <v>2419</v>
      </c>
      <c r="M88" s="336">
        <v>2067</v>
      </c>
      <c r="N88" s="39"/>
      <c r="O88" s="39"/>
    </row>
    <row r="89" spans="2:15" ht="15" thickBot="1">
      <c r="B89" s="337" t="s">
        <v>1319</v>
      </c>
      <c r="C89" s="1284">
        <v>4242</v>
      </c>
      <c r="D89" s="1394">
        <v>4473</v>
      </c>
      <c r="E89" s="339">
        <v>4679</v>
      </c>
      <c r="F89" s="339">
        <v>3714</v>
      </c>
      <c r="G89" s="339">
        <v>3225</v>
      </c>
      <c r="H89" s="1094">
        <v>2402</v>
      </c>
      <c r="I89" s="1094">
        <v>1875</v>
      </c>
      <c r="J89" s="1094">
        <v>1970</v>
      </c>
      <c r="K89" s="1094">
        <v>1744</v>
      </c>
      <c r="L89" s="339">
        <v>808</v>
      </c>
      <c r="M89" s="336">
        <v>479</v>
      </c>
      <c r="N89" s="1220"/>
      <c r="O89" s="39"/>
    </row>
    <row r="90" spans="2:15" ht="15" thickBot="1">
      <c r="B90" s="337" t="s">
        <v>25</v>
      </c>
      <c r="C90" s="1284">
        <v>5080</v>
      </c>
      <c r="D90" s="1394">
        <v>4608</v>
      </c>
      <c r="E90" s="339">
        <v>4525</v>
      </c>
      <c r="F90" s="339">
        <v>3664</v>
      </c>
      <c r="G90" s="339">
        <v>2346</v>
      </c>
      <c r="H90" s="339">
        <v>3285</v>
      </c>
      <c r="I90" s="339">
        <v>2679</v>
      </c>
      <c r="J90" s="339">
        <v>2048</v>
      </c>
      <c r="K90" s="339">
        <v>1745</v>
      </c>
      <c r="L90" s="339">
        <v>2686</v>
      </c>
      <c r="M90" s="336">
        <v>2027</v>
      </c>
      <c r="N90" s="39"/>
      <c r="O90" s="39"/>
    </row>
    <row r="91" spans="2:15">
      <c r="B91" s="764" t="s">
        <v>129</v>
      </c>
      <c r="C91" s="1285">
        <f>C92-C90-C89-C88-C87-C86-C85-C84-C83-C82-C81-C80-C79-C78-C77-C76-C75-C74</f>
        <v>108535</v>
      </c>
      <c r="D91" s="1395">
        <f>D92-D90-D89-D88-D87-D86-D85-D84-D83-D82-D81-D80-D79-D78-D77-D76-D75-D74</f>
        <v>80308</v>
      </c>
      <c r="E91" s="765">
        <f>E92-E90-E89-E88-E87-E86-E85-E84-E83-E82-E81-E80-E79-E78-E77-E76-E75-E74</f>
        <v>54483</v>
      </c>
      <c r="F91" s="765">
        <f>F92-F90-F89-F88-F87-F86-F85-F84-F83-F82-F81-F80-F79-F78-F77-F76-F75-F74</f>
        <v>30540</v>
      </c>
      <c r="G91" s="765">
        <v>23495</v>
      </c>
      <c r="H91" s="765">
        <v>28495</v>
      </c>
      <c r="I91" s="765">
        <v>26973</v>
      </c>
      <c r="J91" s="765">
        <v>30106</v>
      </c>
      <c r="K91" s="765">
        <v>24248</v>
      </c>
      <c r="L91" s="765">
        <v>21670</v>
      </c>
      <c r="M91" s="765">
        <v>17585</v>
      </c>
      <c r="N91" s="39"/>
      <c r="O91" s="39"/>
    </row>
    <row r="92" spans="2:15">
      <c r="B92" s="127" t="s">
        <v>52</v>
      </c>
      <c r="C92" s="1206">
        <v>735395</v>
      </c>
      <c r="D92" s="1206">
        <v>617246</v>
      </c>
      <c r="E92" s="73">
        <v>600531</v>
      </c>
      <c r="F92" s="73">
        <v>613282</v>
      </c>
      <c r="G92" s="73">
        <v>501324</v>
      </c>
      <c r="H92" s="73">
        <v>521841</v>
      </c>
      <c r="I92" s="73">
        <v>486866</v>
      </c>
      <c r="J92" s="73">
        <v>478739</v>
      </c>
      <c r="K92" s="73">
        <v>460487</v>
      </c>
      <c r="L92" s="73">
        <v>431288</v>
      </c>
      <c r="M92" s="73">
        <v>416036</v>
      </c>
      <c r="N92" s="126"/>
      <c r="O92" s="126"/>
    </row>
    <row r="93" spans="2:15" ht="15.6">
      <c r="B93" s="195" t="s">
        <v>2019</v>
      </c>
      <c r="C93" s="769"/>
      <c r="D93" s="769"/>
      <c r="E93" s="769"/>
      <c r="F93" s="769"/>
      <c r="G93" s="769"/>
      <c r="H93" s="769"/>
      <c r="I93" s="769"/>
      <c r="J93" s="769"/>
      <c r="K93" s="769"/>
      <c r="L93" s="769"/>
      <c r="M93" s="769"/>
    </row>
    <row r="94" spans="2:15">
      <c r="B94" s="269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</row>
    <row r="95" spans="2:15">
      <c r="B95" s="687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</row>
    <row r="96" spans="2:15">
      <c r="B96" s="687"/>
    </row>
    <row r="97" spans="2:15" ht="15.6">
      <c r="B97" s="83" t="s">
        <v>587</v>
      </c>
    </row>
    <row r="98" spans="2:15">
      <c r="B98" s="1" t="s">
        <v>1317</v>
      </c>
    </row>
    <row r="99" spans="2:15">
      <c r="B99" s="766"/>
      <c r="C99" s="317">
        <v>2024</v>
      </c>
      <c r="D99" s="317">
        <v>2023</v>
      </c>
      <c r="E99" s="317">
        <v>2022</v>
      </c>
      <c r="F99" s="317">
        <v>2021</v>
      </c>
      <c r="G99" s="317">
        <v>2020</v>
      </c>
      <c r="H99" s="317">
        <v>2019</v>
      </c>
      <c r="I99" s="317">
        <v>2018</v>
      </c>
      <c r="J99" s="317">
        <v>2017</v>
      </c>
      <c r="K99" s="317">
        <v>2016</v>
      </c>
      <c r="L99" s="766">
        <v>2015</v>
      </c>
      <c r="M99" s="317">
        <v>2014</v>
      </c>
      <c r="N99" s="93"/>
      <c r="O99" s="479"/>
    </row>
    <row r="100" spans="2:15" ht="15" thickBot="1">
      <c r="B100" s="762" t="s">
        <v>113</v>
      </c>
      <c r="C100" s="1280">
        <v>472176</v>
      </c>
      <c r="D100" s="1391">
        <v>434702</v>
      </c>
      <c r="E100" s="336">
        <v>439924</v>
      </c>
      <c r="F100" s="336">
        <v>465788</v>
      </c>
      <c r="G100" s="336">
        <v>405508</v>
      </c>
      <c r="H100" s="336">
        <v>436046</v>
      </c>
      <c r="I100" s="336">
        <v>408653</v>
      </c>
      <c r="J100" s="336">
        <v>396608</v>
      </c>
      <c r="K100" s="336">
        <v>371056</v>
      </c>
      <c r="L100" s="336">
        <v>360159</v>
      </c>
      <c r="M100" s="336">
        <v>349790</v>
      </c>
      <c r="N100" s="39"/>
      <c r="O100" s="154"/>
    </row>
    <row r="101" spans="2:15" ht="15" thickBot="1">
      <c r="B101" s="337" t="s">
        <v>117</v>
      </c>
      <c r="C101" s="1158">
        <v>10496</v>
      </c>
      <c r="D101" s="1383">
        <v>8558</v>
      </c>
      <c r="E101" s="339">
        <v>7193</v>
      </c>
      <c r="F101" s="339">
        <v>4824</v>
      </c>
      <c r="G101" s="339">
        <v>3533</v>
      </c>
      <c r="H101" s="339">
        <v>6335</v>
      </c>
      <c r="I101" s="339">
        <v>7583</v>
      </c>
      <c r="J101" s="339">
        <v>8699</v>
      </c>
      <c r="K101" s="339">
        <v>8298</v>
      </c>
      <c r="L101" s="336">
        <v>11662</v>
      </c>
      <c r="M101" s="339">
        <v>15044</v>
      </c>
      <c r="N101" s="39"/>
      <c r="O101" s="39"/>
    </row>
    <row r="102" spans="2:15" ht="15" thickBot="1">
      <c r="B102" s="337" t="s">
        <v>120</v>
      </c>
      <c r="C102" s="1158">
        <v>12</v>
      </c>
      <c r="D102" s="1383">
        <v>6</v>
      </c>
      <c r="E102" s="767">
        <v>1</v>
      </c>
      <c r="F102" s="767">
        <v>21</v>
      </c>
      <c r="G102" s="337">
        <v>3</v>
      </c>
      <c r="H102" s="337">
        <v>1</v>
      </c>
      <c r="I102" s="337">
        <v>26</v>
      </c>
      <c r="J102" s="337">
        <v>8</v>
      </c>
      <c r="K102" s="339">
        <v>0</v>
      </c>
      <c r="L102" s="336">
        <v>0</v>
      </c>
      <c r="M102" s="339">
        <v>9</v>
      </c>
      <c r="N102" s="39"/>
      <c r="O102" s="39"/>
    </row>
    <row r="103" spans="2:15" ht="15" thickBot="1">
      <c r="B103" s="337" t="s">
        <v>115</v>
      </c>
      <c r="C103" s="1158">
        <v>6356</v>
      </c>
      <c r="D103" s="1383">
        <v>4598</v>
      </c>
      <c r="E103" s="339">
        <v>3691</v>
      </c>
      <c r="F103" s="339">
        <v>3326</v>
      </c>
      <c r="G103" s="339">
        <v>949</v>
      </c>
      <c r="H103" s="339">
        <v>1045</v>
      </c>
      <c r="I103" s="339">
        <v>249</v>
      </c>
      <c r="J103" s="339">
        <v>46</v>
      </c>
      <c r="K103" s="339">
        <v>29</v>
      </c>
      <c r="L103" s="337">
        <v>32</v>
      </c>
      <c r="M103" s="339">
        <v>45</v>
      </c>
      <c r="N103" s="39"/>
      <c r="O103" s="39"/>
    </row>
    <row r="104" spans="2:15" ht="15" thickBot="1">
      <c r="B104" s="337" t="s">
        <v>114</v>
      </c>
      <c r="C104" s="1158">
        <v>275</v>
      </c>
      <c r="D104" s="1383">
        <v>181</v>
      </c>
      <c r="E104" s="339">
        <v>115</v>
      </c>
      <c r="F104" s="339">
        <v>85</v>
      </c>
      <c r="G104" s="339">
        <v>75</v>
      </c>
      <c r="H104" s="339">
        <v>234</v>
      </c>
      <c r="I104" s="339">
        <v>390</v>
      </c>
      <c r="J104" s="339">
        <v>424</v>
      </c>
      <c r="K104" s="339">
        <v>463</v>
      </c>
      <c r="L104" s="337">
        <v>1410</v>
      </c>
      <c r="M104" s="336">
        <v>1822</v>
      </c>
      <c r="N104" s="39"/>
      <c r="O104" s="154"/>
    </row>
    <row r="105" spans="2:15" ht="15" thickBot="1">
      <c r="B105" s="762" t="s">
        <v>742</v>
      </c>
      <c r="C105" s="1280">
        <v>176063</v>
      </c>
      <c r="D105" s="1391">
        <v>166842</v>
      </c>
      <c r="E105" s="336">
        <v>147141</v>
      </c>
      <c r="F105" s="336">
        <v>136871</v>
      </c>
      <c r="G105" s="336">
        <v>89516</v>
      </c>
      <c r="H105" s="336">
        <v>76770</v>
      </c>
      <c r="I105" s="336">
        <v>68188</v>
      </c>
      <c r="J105" s="336">
        <v>71182</v>
      </c>
      <c r="K105" s="336">
        <v>71533</v>
      </c>
      <c r="L105" s="336">
        <v>53840</v>
      </c>
      <c r="M105" s="339">
        <v>46146</v>
      </c>
      <c r="N105" s="39"/>
      <c r="O105" s="39"/>
    </row>
    <row r="106" spans="2:15">
      <c r="B106" s="764" t="s">
        <v>789</v>
      </c>
      <c r="C106" s="1281">
        <v>2672</v>
      </c>
      <c r="D106" s="1392">
        <v>2360</v>
      </c>
      <c r="E106" s="765">
        <v>2467</v>
      </c>
      <c r="F106" s="765">
        <v>2395</v>
      </c>
      <c r="G106" s="765">
        <v>1739</v>
      </c>
      <c r="H106" s="765">
        <v>1310</v>
      </c>
      <c r="I106" s="765">
        <v>1777</v>
      </c>
      <c r="J106" s="765">
        <v>1772</v>
      </c>
      <c r="K106" s="765">
        <v>9107</v>
      </c>
      <c r="L106" s="765">
        <v>4184</v>
      </c>
      <c r="M106" s="765">
        <v>3178</v>
      </c>
      <c r="N106" s="39"/>
      <c r="O106" s="39"/>
    </row>
    <row r="107" spans="2:15">
      <c r="B107" s="127" t="s">
        <v>52</v>
      </c>
      <c r="C107" s="73">
        <f>C106+C105+C104+C103+C102+C101+C100</f>
        <v>668050</v>
      </c>
      <c r="D107" s="73">
        <f>D106+D105+D104+D103+D102+D101+D100</f>
        <v>617247</v>
      </c>
      <c r="E107" s="73">
        <f>E106+E105+E104+E103+E102+E101+E100</f>
        <v>600532</v>
      </c>
      <c r="F107" s="73">
        <f>F106+F105+F104+F103+F102+F101+F100</f>
        <v>613310</v>
      </c>
      <c r="G107" s="73">
        <v>501324</v>
      </c>
      <c r="H107" s="73">
        <v>521841</v>
      </c>
      <c r="I107" s="73">
        <v>486866</v>
      </c>
      <c r="J107" s="73">
        <v>478739</v>
      </c>
      <c r="K107" s="73">
        <v>460486</v>
      </c>
      <c r="L107" s="73">
        <v>431287</v>
      </c>
      <c r="M107" s="73">
        <v>416034</v>
      </c>
      <c r="N107" s="126"/>
      <c r="O107" s="126"/>
    </row>
    <row r="108" spans="2:15">
      <c r="B108" s="269" t="s">
        <v>2019</v>
      </c>
    </row>
    <row r="109" spans="2:15">
      <c r="B109" s="687"/>
      <c r="C109" s="23"/>
    </row>
    <row r="110" spans="2:15">
      <c r="B110" s="687"/>
    </row>
    <row r="111" spans="2:15" ht="15.6">
      <c r="B111" s="83" t="s">
        <v>587</v>
      </c>
    </row>
    <row r="112" spans="2:15">
      <c r="B112" s="1" t="s">
        <v>1320</v>
      </c>
    </row>
    <row r="113" spans="2:14">
      <c r="B113" s="317"/>
      <c r="C113" s="317">
        <v>2017</v>
      </c>
      <c r="D113" s="317">
        <v>2016</v>
      </c>
      <c r="E113" s="317">
        <v>2015</v>
      </c>
      <c r="F113" s="317">
        <v>2014</v>
      </c>
      <c r="G113" s="766">
        <v>2013</v>
      </c>
      <c r="H113" s="317">
        <v>2012</v>
      </c>
      <c r="I113" s="317">
        <v>2011</v>
      </c>
      <c r="J113" s="766">
        <v>2010</v>
      </c>
      <c r="K113" s="13">
        <v>2009</v>
      </c>
      <c r="M113" s="710">
        <v>2021</v>
      </c>
      <c r="N113" s="223" t="s">
        <v>1934</v>
      </c>
    </row>
    <row r="114" spans="2:14" ht="15" thickBot="1">
      <c r="B114" s="762" t="s">
        <v>1321</v>
      </c>
      <c r="C114" s="763">
        <v>159961</v>
      </c>
      <c r="D114" s="336">
        <v>133658</v>
      </c>
      <c r="E114" s="336">
        <v>122800</v>
      </c>
      <c r="F114" s="336">
        <v>136601</v>
      </c>
      <c r="G114" s="336">
        <v>124858</v>
      </c>
      <c r="H114" s="336">
        <v>123511</v>
      </c>
      <c r="I114" s="336">
        <v>121891</v>
      </c>
      <c r="J114" s="336">
        <v>120221</v>
      </c>
      <c r="K114" s="770">
        <v>117713</v>
      </c>
      <c r="M114" s="1271">
        <v>103662</v>
      </c>
    </row>
    <row r="115" spans="2:14" ht="15" thickBot="1">
      <c r="B115" s="337" t="s">
        <v>1322</v>
      </c>
      <c r="C115" s="763">
        <v>82.65</v>
      </c>
      <c r="D115" s="771">
        <v>70.8</v>
      </c>
      <c r="E115" s="771">
        <v>69.92</v>
      </c>
      <c r="F115" s="771">
        <v>54.6</v>
      </c>
      <c r="G115" s="772">
        <v>46.33</v>
      </c>
      <c r="H115" s="771">
        <v>42.87</v>
      </c>
      <c r="I115" s="772">
        <v>44.51</v>
      </c>
      <c r="J115" s="772">
        <v>35.5</v>
      </c>
      <c r="K115" s="773">
        <v>36.700000000000003</v>
      </c>
      <c r="M115" s="710">
        <v>57</v>
      </c>
    </row>
    <row r="116" spans="2:14" ht="15" thickBot="1">
      <c r="B116" s="337" t="s">
        <v>1323</v>
      </c>
      <c r="C116" s="768">
        <v>704783.83218214381</v>
      </c>
      <c r="D116" s="339">
        <v>633587.66329648136</v>
      </c>
      <c r="E116" s="339">
        <v>642619.88923262444</v>
      </c>
      <c r="F116" s="339">
        <v>470109.31333044037</v>
      </c>
      <c r="G116" s="339">
        <v>403846.17060909903</v>
      </c>
      <c r="H116" s="336">
        <v>392413.52165276848</v>
      </c>
      <c r="I116" s="336">
        <v>359155.52055360464</v>
      </c>
      <c r="J116" s="336">
        <v>339124.23792574421</v>
      </c>
      <c r="K116" s="774">
        <v>340508.44312488404</v>
      </c>
      <c r="M116" s="1271">
        <v>415158</v>
      </c>
    </row>
    <row r="117" spans="2:14">
      <c r="B117" s="41" t="s">
        <v>1324</v>
      </c>
    </row>
    <row r="118" spans="2:14">
      <c r="B118" s="687"/>
    </row>
    <row r="122" spans="2:14">
      <c r="B122" s="41"/>
    </row>
  </sheetData>
  <mergeCells count="1">
    <mergeCell ref="C47:D47"/>
  </mergeCells>
  <hyperlinks>
    <hyperlink ref="B20" r:id="rId1" display="Source: Worldbank, 2017, World Development Indicators " xr:uid="{00000000-0004-0000-1900-000000000000}"/>
    <hyperlink ref="B38" r:id="rId2" xr:uid="{00000000-0004-0000-1900-000001000000}"/>
    <hyperlink ref="B55" r:id="rId3" xr:uid="{00000000-0004-0000-1900-000002000000}"/>
    <hyperlink ref="B68" r:id="rId4" display="Source: ITC Trade map,. 2016" xr:uid="{00000000-0004-0000-1900-000003000000}"/>
    <hyperlink ref="B117" r:id="rId5" xr:uid="{00000000-0004-0000-1900-000004000000}"/>
    <hyperlink ref="B93" r:id="rId6" display="Source: ITC Trade map, 2019" xr:uid="{00000000-0004-0000-1900-000005000000}"/>
    <hyperlink ref="B108" r:id="rId7" display="Source: ITC Trade map,. 2016" xr:uid="{00000000-0004-0000-1900-000006000000}"/>
    <hyperlink ref="N113" r:id="rId8" display="http://www.horticulture.agricultureauthority.go.ke/index.php/statistics/statistics" xr:uid="{F9EC7506-3F2B-464B-8A3A-A97356A1B428}"/>
  </hyperlink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FD6C8-997B-4DA9-B587-1B64426500B4}">
  <sheetPr>
    <tabColor theme="9"/>
  </sheetPr>
  <dimension ref="B2:L67"/>
  <sheetViews>
    <sheetView workbookViewId="0">
      <selection sqref="A1:XFD1048576"/>
    </sheetView>
  </sheetViews>
  <sheetFormatPr defaultColWidth="11.5546875" defaultRowHeight="14.4"/>
  <sheetData>
    <row r="2" spans="2:12" ht="15.6">
      <c r="B2" s="511" t="s">
        <v>2535</v>
      </c>
    </row>
    <row r="3" spans="2:12">
      <c r="B3" s="99" t="s">
        <v>4</v>
      </c>
      <c r="C3" s="141" t="s">
        <v>2536</v>
      </c>
      <c r="D3" s="141" t="s">
        <v>2537</v>
      </c>
      <c r="E3" s="141" t="s">
        <v>2538</v>
      </c>
      <c r="F3" s="141" t="s">
        <v>2539</v>
      </c>
      <c r="G3" s="141" t="s">
        <v>2540</v>
      </c>
      <c r="H3" s="141" t="s">
        <v>2541</v>
      </c>
      <c r="I3" s="141" t="s">
        <v>2542</v>
      </c>
      <c r="J3" s="141" t="s">
        <v>2543</v>
      </c>
      <c r="K3" s="141" t="s">
        <v>2544</v>
      </c>
      <c r="L3" s="141" t="s">
        <v>2545</v>
      </c>
    </row>
    <row r="4" spans="2:12">
      <c r="B4" s="99"/>
      <c r="C4" s="141"/>
      <c r="D4" s="141"/>
      <c r="E4" s="141"/>
      <c r="F4" s="141"/>
      <c r="G4" s="141"/>
      <c r="H4" s="141"/>
      <c r="I4" s="141"/>
      <c r="J4" s="141"/>
      <c r="K4" s="141"/>
      <c r="L4" s="141"/>
    </row>
    <row r="5" spans="2:12">
      <c r="B5" s="1526">
        <v>2024</v>
      </c>
      <c r="C5" s="1527" t="s">
        <v>59</v>
      </c>
      <c r="D5" s="1528">
        <v>2221</v>
      </c>
      <c r="E5" s="1527">
        <v>954</v>
      </c>
      <c r="F5" s="1528" t="s">
        <v>59</v>
      </c>
      <c r="G5" s="1527" t="s">
        <v>59</v>
      </c>
      <c r="H5" s="1527" t="s">
        <v>59</v>
      </c>
      <c r="I5" s="1527" t="s">
        <v>59</v>
      </c>
      <c r="J5" s="1527" t="s">
        <v>59</v>
      </c>
      <c r="K5" s="1527" t="s">
        <v>59</v>
      </c>
      <c r="L5" s="1527">
        <v>600</v>
      </c>
    </row>
    <row r="6" spans="2:12" ht="15" thickBot="1">
      <c r="B6" s="1529">
        <v>2023</v>
      </c>
      <c r="C6" s="1530" t="s">
        <v>59</v>
      </c>
      <c r="D6" s="1531">
        <v>1950</v>
      </c>
      <c r="E6" s="1530">
        <v>926</v>
      </c>
      <c r="F6" s="1531">
        <v>11666</v>
      </c>
      <c r="G6" s="1530" t="s">
        <v>59</v>
      </c>
      <c r="H6" s="512">
        <v>2564</v>
      </c>
      <c r="I6" s="1530">
        <v>919</v>
      </c>
      <c r="J6" s="1530">
        <v>1294</v>
      </c>
      <c r="K6" s="1530">
        <v>620</v>
      </c>
      <c r="L6" s="1530">
        <v>509</v>
      </c>
    </row>
    <row r="7" spans="2:12" ht="15" thickBot="1">
      <c r="B7" s="1532">
        <v>2022</v>
      </c>
      <c r="C7" s="512">
        <v>6192</v>
      </c>
      <c r="D7" s="512">
        <v>1990</v>
      </c>
      <c r="E7" s="512">
        <v>999</v>
      </c>
      <c r="F7" s="512">
        <v>12069</v>
      </c>
      <c r="G7" s="512" t="s">
        <v>59</v>
      </c>
      <c r="H7" s="512">
        <v>2664</v>
      </c>
      <c r="I7" s="512">
        <v>1189</v>
      </c>
      <c r="J7" s="512">
        <v>1021</v>
      </c>
      <c r="K7" s="512">
        <v>1046</v>
      </c>
      <c r="L7" s="512">
        <v>524</v>
      </c>
    </row>
    <row r="8" spans="2:12" ht="15" thickBot="1">
      <c r="B8" s="1532">
        <v>2021</v>
      </c>
      <c r="C8" s="512" t="s">
        <v>59</v>
      </c>
      <c r="D8" s="512">
        <v>1476</v>
      </c>
      <c r="E8" s="512">
        <f>784+11</f>
        <v>795</v>
      </c>
      <c r="F8" s="512" t="s">
        <v>59</v>
      </c>
      <c r="G8" s="512" t="s">
        <v>59</v>
      </c>
      <c r="H8" s="512">
        <v>2828</v>
      </c>
      <c r="I8" s="512">
        <v>1102</v>
      </c>
      <c r="J8" s="512">
        <v>913</v>
      </c>
      <c r="K8" s="512">
        <v>952</v>
      </c>
      <c r="L8" s="512">
        <v>517</v>
      </c>
    </row>
    <row r="9" spans="2:12" ht="15" thickBot="1">
      <c r="B9" s="1532">
        <v>2020</v>
      </c>
      <c r="C9" s="512" t="s">
        <v>59</v>
      </c>
      <c r="D9" s="512">
        <v>1247</v>
      </c>
      <c r="E9" s="512">
        <v>741</v>
      </c>
      <c r="F9" s="512" t="s">
        <v>59</v>
      </c>
      <c r="G9" s="512" t="s">
        <v>59</v>
      </c>
      <c r="H9" s="512">
        <v>2260</v>
      </c>
      <c r="I9" s="512">
        <v>1236</v>
      </c>
      <c r="J9" s="512">
        <v>694</v>
      </c>
      <c r="K9" s="512">
        <v>932</v>
      </c>
      <c r="L9" s="512">
        <v>478</v>
      </c>
    </row>
    <row r="10" spans="2:12" ht="15" thickBot="1">
      <c r="B10" s="1532">
        <v>2019</v>
      </c>
      <c r="C10" s="512" t="s">
        <v>59</v>
      </c>
      <c r="D10" s="512">
        <v>1329</v>
      </c>
      <c r="E10" s="512">
        <v>786</v>
      </c>
      <c r="F10" s="512" t="s">
        <v>59</v>
      </c>
      <c r="G10" s="512" t="s">
        <v>59</v>
      </c>
      <c r="H10" s="512">
        <v>2380</v>
      </c>
      <c r="I10" s="512">
        <v>1391</v>
      </c>
      <c r="J10" s="512">
        <v>857</v>
      </c>
      <c r="K10" s="512">
        <v>955</v>
      </c>
      <c r="L10" s="512">
        <v>515</v>
      </c>
    </row>
    <row r="11" spans="2:12" ht="15" thickBot="1">
      <c r="B11" s="1532">
        <v>2018</v>
      </c>
      <c r="C11" s="512" t="s">
        <v>59</v>
      </c>
      <c r="D11" s="512">
        <v>1245</v>
      </c>
      <c r="E11" s="512">
        <v>721</v>
      </c>
      <c r="F11" s="512">
        <v>7739</v>
      </c>
      <c r="G11" s="512" t="s">
        <v>59</v>
      </c>
      <c r="H11" s="512">
        <v>2331</v>
      </c>
      <c r="I11" s="512">
        <v>1179</v>
      </c>
      <c r="J11" s="512">
        <v>734</v>
      </c>
      <c r="K11" s="512">
        <v>941</v>
      </c>
      <c r="L11" s="512">
        <v>485</v>
      </c>
    </row>
    <row r="12" spans="2:12" ht="15" thickBot="1">
      <c r="B12" s="1532">
        <v>2017</v>
      </c>
      <c r="C12" s="512">
        <v>5481</v>
      </c>
      <c r="D12" s="512">
        <v>1249</v>
      </c>
      <c r="E12" s="512">
        <v>780</v>
      </c>
      <c r="F12" s="512">
        <v>7553</v>
      </c>
      <c r="G12" s="512" t="s">
        <v>59</v>
      </c>
      <c r="H12" s="512">
        <v>2435</v>
      </c>
      <c r="I12" s="512">
        <v>1273</v>
      </c>
      <c r="J12" s="512">
        <v>703</v>
      </c>
      <c r="K12" s="512">
        <v>921</v>
      </c>
      <c r="L12" s="512">
        <v>477</v>
      </c>
    </row>
    <row r="13" spans="2:12" ht="15" thickBot="1">
      <c r="B13" s="1532">
        <v>2016</v>
      </c>
      <c r="C13" s="512" t="s">
        <v>59</v>
      </c>
      <c r="D13" s="512">
        <v>1195</v>
      </c>
      <c r="E13" s="512">
        <v>725</v>
      </c>
      <c r="F13" s="1533">
        <v>6598</v>
      </c>
      <c r="G13" s="512" t="s">
        <v>59</v>
      </c>
      <c r="H13" s="512">
        <v>2440</v>
      </c>
      <c r="I13" s="512">
        <v>1133</v>
      </c>
      <c r="J13" s="512">
        <v>720</v>
      </c>
      <c r="K13" s="512">
        <v>1576</v>
      </c>
      <c r="L13" s="512">
        <v>484</v>
      </c>
    </row>
    <row r="14" spans="2:12" ht="15" thickBot="1">
      <c r="B14" s="1532">
        <v>2015</v>
      </c>
      <c r="C14" s="512" t="s">
        <v>59</v>
      </c>
      <c r="D14" s="512">
        <v>1175</v>
      </c>
      <c r="E14" s="512">
        <v>739</v>
      </c>
      <c r="F14" s="1533">
        <v>6231</v>
      </c>
      <c r="G14" s="512" t="s">
        <v>59</v>
      </c>
      <c r="H14" s="512">
        <v>2373</v>
      </c>
      <c r="I14" s="512">
        <v>1112</v>
      </c>
      <c r="J14" s="512">
        <v>724</v>
      </c>
      <c r="K14" s="512">
        <v>1675</v>
      </c>
      <c r="L14" s="512" t="s">
        <v>59</v>
      </c>
    </row>
    <row r="15" spans="2:12" ht="15" thickBot="1">
      <c r="B15" s="1532">
        <v>2014</v>
      </c>
      <c r="C15" s="512" t="s">
        <v>59</v>
      </c>
      <c r="D15" s="512">
        <v>1043</v>
      </c>
      <c r="E15" s="512">
        <v>691</v>
      </c>
      <c r="F15" s="1533">
        <v>5070</v>
      </c>
      <c r="G15" s="512" t="s">
        <v>59</v>
      </c>
      <c r="H15" s="512">
        <v>2342</v>
      </c>
      <c r="I15" s="512">
        <v>1143</v>
      </c>
      <c r="J15" s="512">
        <v>1037</v>
      </c>
      <c r="K15" s="512">
        <v>966</v>
      </c>
      <c r="L15" s="512" t="s">
        <v>59</v>
      </c>
    </row>
    <row r="16" spans="2:12" ht="15" thickBot="1">
      <c r="B16" s="1532">
        <v>2011</v>
      </c>
      <c r="C16" s="512" t="s">
        <v>59</v>
      </c>
      <c r="D16" s="512">
        <v>893</v>
      </c>
      <c r="E16" s="512">
        <v>488</v>
      </c>
      <c r="F16" s="512">
        <v>4096</v>
      </c>
      <c r="G16" s="512" t="s">
        <v>59</v>
      </c>
      <c r="H16" s="512">
        <v>2207</v>
      </c>
      <c r="I16" s="512">
        <v>1757</v>
      </c>
      <c r="J16" s="512">
        <v>877</v>
      </c>
      <c r="K16" s="512">
        <v>954</v>
      </c>
      <c r="L16" s="512" t="s">
        <v>59</v>
      </c>
    </row>
    <row r="17" spans="2:6">
      <c r="B17" s="87" t="s">
        <v>2546</v>
      </c>
      <c r="C17" s="513"/>
      <c r="D17" s="513"/>
      <c r="E17" s="513"/>
      <c r="F17" s="513"/>
    </row>
    <row r="18" spans="2:6">
      <c r="B18" s="87" t="s">
        <v>2547</v>
      </c>
    </row>
    <row r="19" spans="2:6">
      <c r="B19" s="87" t="s">
        <v>2548</v>
      </c>
    </row>
    <row r="20" spans="2:6">
      <c r="B20" s="87" t="s">
        <v>2549</v>
      </c>
    </row>
    <row r="21" spans="2:6">
      <c r="B21" s="87" t="s">
        <v>2550</v>
      </c>
    </row>
    <row r="22" spans="2:6">
      <c r="B22" s="87" t="s">
        <v>2551</v>
      </c>
    </row>
    <row r="23" spans="2:6">
      <c r="B23" s="87" t="s">
        <v>2552</v>
      </c>
      <c r="C23" s="87"/>
    </row>
    <row r="24" spans="2:6">
      <c r="B24" s="87" t="s">
        <v>2553</v>
      </c>
      <c r="C24" s="87"/>
    </row>
    <row r="25" spans="2:6">
      <c r="B25" s="87" t="s">
        <v>2554</v>
      </c>
      <c r="C25" s="87"/>
    </row>
    <row r="28" spans="2:6">
      <c r="B28" s="87"/>
      <c r="C28" s="87"/>
    </row>
    <row r="50" spans="2:12" ht="15.6">
      <c r="B50" s="511" t="s">
        <v>2555</v>
      </c>
    </row>
    <row r="51" spans="2:12">
      <c r="B51" s="1463" t="s">
        <v>669</v>
      </c>
      <c r="C51" s="141" t="s">
        <v>2536</v>
      </c>
      <c r="D51" s="141" t="s">
        <v>2556</v>
      </c>
      <c r="E51" s="141" t="s">
        <v>2557</v>
      </c>
      <c r="F51" s="141" t="s">
        <v>2558</v>
      </c>
      <c r="G51" s="141" t="s">
        <v>2559</v>
      </c>
      <c r="H51" s="141" t="s">
        <v>2560</v>
      </c>
      <c r="I51" s="141" t="s">
        <v>2561</v>
      </c>
      <c r="J51" s="141" t="s">
        <v>2562</v>
      </c>
      <c r="K51" s="141" t="s">
        <v>2563</v>
      </c>
      <c r="L51" s="141" t="s">
        <v>2564</v>
      </c>
    </row>
    <row r="52" spans="2:12">
      <c r="B52" s="1534">
        <v>2024</v>
      </c>
      <c r="C52" s="1535" t="s">
        <v>59</v>
      </c>
      <c r="D52" s="1536">
        <v>10500</v>
      </c>
      <c r="E52" s="1536">
        <v>7196</v>
      </c>
      <c r="F52" s="1536" t="s">
        <v>59</v>
      </c>
      <c r="G52" s="1536" t="s">
        <v>59</v>
      </c>
      <c r="H52" s="1536">
        <v>7510</v>
      </c>
      <c r="I52" s="1536" t="s">
        <v>59</v>
      </c>
      <c r="J52" s="1536" t="s">
        <v>59</v>
      </c>
      <c r="K52" s="1536">
        <v>5220</v>
      </c>
      <c r="L52" s="1536">
        <v>7443</v>
      </c>
    </row>
    <row r="53" spans="2:12">
      <c r="B53" s="1529">
        <v>2023</v>
      </c>
      <c r="C53" s="1537" t="s">
        <v>59</v>
      </c>
      <c r="D53" s="1531">
        <v>10500</v>
      </c>
      <c r="E53" s="1531">
        <v>9464</v>
      </c>
      <c r="F53" s="1531">
        <v>169537</v>
      </c>
      <c r="G53" s="1530" t="s">
        <v>59</v>
      </c>
      <c r="H53" s="1531">
        <v>7750</v>
      </c>
      <c r="I53" s="1530" t="s">
        <v>59</v>
      </c>
      <c r="J53" s="1530" t="s">
        <v>59</v>
      </c>
      <c r="K53" s="1531">
        <v>5173</v>
      </c>
      <c r="L53" s="1530">
        <v>5620</v>
      </c>
    </row>
    <row r="54" spans="2:12" ht="15" thickBot="1">
      <c r="B54" s="1532">
        <v>2022</v>
      </c>
      <c r="C54" s="512">
        <v>34658</v>
      </c>
      <c r="D54" s="512">
        <v>10000</v>
      </c>
      <c r="E54" s="512">
        <v>7854</v>
      </c>
      <c r="F54" s="512">
        <v>176635</v>
      </c>
      <c r="G54" s="512">
        <v>16239</v>
      </c>
      <c r="H54" s="512">
        <v>8190</v>
      </c>
      <c r="I54" s="512" t="s">
        <v>59</v>
      </c>
      <c r="J54" s="512">
        <v>6097</v>
      </c>
      <c r="K54" s="512">
        <v>4738</v>
      </c>
      <c r="L54" s="512">
        <v>5809</v>
      </c>
    </row>
    <row r="55" spans="2:12" ht="15" thickBot="1">
      <c r="B55" s="1532">
        <v>2021</v>
      </c>
      <c r="C55" s="512" t="s">
        <v>59</v>
      </c>
      <c r="D55" s="512">
        <v>8900</v>
      </c>
      <c r="E55" s="512">
        <v>7464</v>
      </c>
      <c r="F55" s="512" t="s">
        <v>59</v>
      </c>
      <c r="G55" s="512">
        <v>16604</v>
      </c>
      <c r="H55" s="512">
        <v>7870</v>
      </c>
      <c r="I55" s="512">
        <v>6262.8</v>
      </c>
      <c r="J55" s="512">
        <v>5941</v>
      </c>
      <c r="K55" s="512">
        <v>4901</v>
      </c>
      <c r="L55" s="512">
        <v>7100</v>
      </c>
    </row>
    <row r="56" spans="2:12" ht="15" thickBot="1">
      <c r="B56" s="1532">
        <v>2020</v>
      </c>
      <c r="C56" s="512" t="s">
        <v>59</v>
      </c>
      <c r="D56" s="512" t="s">
        <v>59</v>
      </c>
      <c r="E56" s="512">
        <v>5217</v>
      </c>
      <c r="F56" s="512">
        <v>188420.7</v>
      </c>
      <c r="G56" s="512">
        <v>16795</v>
      </c>
      <c r="H56" s="512">
        <v>7460</v>
      </c>
      <c r="I56" s="512" t="s">
        <v>59</v>
      </c>
      <c r="J56" s="512">
        <v>6086.31</v>
      </c>
      <c r="K56" s="512">
        <v>4195</v>
      </c>
      <c r="L56" s="512">
        <v>6300</v>
      </c>
    </row>
    <row r="57" spans="2:12" ht="15" thickBot="1">
      <c r="B57" s="1532">
        <v>2019</v>
      </c>
      <c r="C57" s="512" t="s">
        <v>59</v>
      </c>
      <c r="D57" s="512" t="s">
        <v>59</v>
      </c>
      <c r="E57" s="512">
        <v>9316</v>
      </c>
      <c r="F57" s="512">
        <v>197653.1</v>
      </c>
      <c r="G57" s="512">
        <v>17285</v>
      </c>
      <c r="H57" s="512">
        <v>7080</v>
      </c>
      <c r="I57" s="512" t="s">
        <v>59</v>
      </c>
      <c r="J57" s="512">
        <v>6194</v>
      </c>
      <c r="K57" s="512">
        <v>6397</v>
      </c>
      <c r="L57" s="512">
        <v>6600</v>
      </c>
    </row>
    <row r="58" spans="2:12" ht="15" thickBot="1">
      <c r="B58" s="1532">
        <v>2018</v>
      </c>
      <c r="C58" s="512" t="s">
        <v>59</v>
      </c>
      <c r="D58" s="512">
        <v>7665</v>
      </c>
      <c r="E58" s="512">
        <v>7509</v>
      </c>
      <c r="F58" s="512">
        <v>190423</v>
      </c>
      <c r="G58" s="512">
        <v>17800</v>
      </c>
      <c r="H58" s="512">
        <v>6870</v>
      </c>
      <c r="I58" s="512" t="s">
        <v>59</v>
      </c>
      <c r="J58" s="512">
        <v>6224</v>
      </c>
      <c r="K58" s="512">
        <v>6397</v>
      </c>
      <c r="L58" s="512">
        <v>6700</v>
      </c>
    </row>
    <row r="59" spans="2:12" ht="15" thickBot="1">
      <c r="B59" s="1532">
        <v>2017</v>
      </c>
      <c r="C59" s="512">
        <v>28155</v>
      </c>
      <c r="D59" s="512">
        <v>7532</v>
      </c>
      <c r="E59" s="512">
        <v>9986</v>
      </c>
      <c r="F59" s="512">
        <v>188558</v>
      </c>
      <c r="G59" s="512">
        <v>18159</v>
      </c>
      <c r="H59" s="512">
        <v>6700</v>
      </c>
      <c r="I59" s="512">
        <v>6588</v>
      </c>
      <c r="J59" s="512">
        <v>6226</v>
      </c>
      <c r="K59" s="512">
        <v>6538</v>
      </c>
      <c r="L59" s="512">
        <v>7100</v>
      </c>
    </row>
    <row r="60" spans="2:12" ht="15" thickBot="1">
      <c r="B60" s="1532">
        <v>2016</v>
      </c>
      <c r="C60" s="512" t="s">
        <v>59</v>
      </c>
      <c r="D60" s="512">
        <v>6796</v>
      </c>
      <c r="E60" s="512">
        <v>8454</v>
      </c>
      <c r="F60" s="512">
        <v>170397</v>
      </c>
      <c r="G60" s="512">
        <v>18376</v>
      </c>
      <c r="H60" s="512">
        <v>6570</v>
      </c>
      <c r="I60" s="512" t="s">
        <v>59</v>
      </c>
      <c r="J60" s="512">
        <v>6438</v>
      </c>
      <c r="K60" s="512">
        <v>7645</v>
      </c>
      <c r="L60" s="512">
        <v>5800</v>
      </c>
    </row>
    <row r="61" spans="2:12" ht="15" thickBot="1">
      <c r="B61" s="1532">
        <v>2015</v>
      </c>
      <c r="C61" s="512" t="s">
        <v>59</v>
      </c>
      <c r="D61" s="512">
        <v>7161</v>
      </c>
      <c r="E61" s="512">
        <v>7724</v>
      </c>
      <c r="F61" s="512">
        <v>167652</v>
      </c>
      <c r="G61" s="512">
        <v>18727</v>
      </c>
      <c r="H61" s="512">
        <v>6720</v>
      </c>
      <c r="I61" s="512" t="s">
        <v>59</v>
      </c>
      <c r="J61" s="512">
        <v>6302</v>
      </c>
      <c r="K61" s="512">
        <v>6741</v>
      </c>
      <c r="L61" s="512">
        <v>6800</v>
      </c>
    </row>
    <row r="62" spans="2:12" ht="15" thickBot="1">
      <c r="B62" s="1532">
        <v>2014</v>
      </c>
      <c r="C62" s="512" t="s">
        <v>59</v>
      </c>
      <c r="D62" s="512">
        <v>6918</v>
      </c>
      <c r="E62" s="512">
        <v>6729</v>
      </c>
      <c r="F62" s="512">
        <v>171397</v>
      </c>
      <c r="G62" s="512">
        <v>19059</v>
      </c>
      <c r="H62" s="512">
        <v>6843</v>
      </c>
      <c r="I62" s="512" t="s">
        <v>59</v>
      </c>
      <c r="J62" s="512">
        <v>7050</v>
      </c>
      <c r="K62" s="512">
        <v>6659</v>
      </c>
      <c r="L62" s="512">
        <v>5900</v>
      </c>
    </row>
    <row r="63" spans="2:12">
      <c r="B63" s="87" t="s">
        <v>2546</v>
      </c>
    </row>
    <row r="64" spans="2:12">
      <c r="B64" s="87" t="s">
        <v>2565</v>
      </c>
    </row>
    <row r="65" spans="2:2">
      <c r="B65" s="87" t="s">
        <v>2566</v>
      </c>
    </row>
    <row r="66" spans="2:2">
      <c r="B66" s="87" t="s">
        <v>2567</v>
      </c>
    </row>
    <row r="67" spans="2:2">
      <c r="B67" s="87" t="s">
        <v>2568</v>
      </c>
    </row>
  </sheetData>
  <pageMargins left="0.7" right="0.7" top="0.78740157499999996" bottom="0.78740157499999996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00B050"/>
  </sheetPr>
  <dimension ref="A3:Y74"/>
  <sheetViews>
    <sheetView showGridLines="0" topLeftCell="A14" zoomScaleNormal="100" workbookViewId="0">
      <selection activeCell="O13" sqref="O13"/>
    </sheetView>
  </sheetViews>
  <sheetFormatPr defaultColWidth="11.44140625" defaultRowHeight="14.4"/>
  <cols>
    <col min="1" max="1" width="8.44140625" customWidth="1"/>
    <col min="2" max="2" width="24.5546875" customWidth="1"/>
    <col min="3" max="3" width="9.33203125" style="464" customWidth="1"/>
    <col min="4" max="4" width="9" style="464" customWidth="1"/>
    <col min="5" max="17" width="8.6640625" customWidth="1"/>
  </cols>
  <sheetData>
    <row r="3" spans="2:25" ht="15" customHeight="1">
      <c r="B3" s="83" t="s">
        <v>203</v>
      </c>
      <c r="C3" s="1048"/>
      <c r="D3" s="1048"/>
      <c r="M3" s="16"/>
    </row>
    <row r="4" spans="2:25" ht="15" customHeight="1">
      <c r="B4" s="83"/>
      <c r="C4" s="1048"/>
      <c r="D4" s="1048"/>
      <c r="M4" s="16"/>
      <c r="Y4" s="9" t="s">
        <v>499</v>
      </c>
    </row>
    <row r="5" spans="2:25" ht="15" customHeight="1">
      <c r="B5" s="83" t="s">
        <v>106</v>
      </c>
      <c r="C5" s="1048"/>
      <c r="D5" s="1048"/>
      <c r="M5" s="16"/>
    </row>
    <row r="6" spans="2:25" ht="15" customHeight="1">
      <c r="B6" s="93" t="s">
        <v>46</v>
      </c>
      <c r="C6" s="1049"/>
      <c r="D6" s="1049"/>
    </row>
    <row r="7" spans="2:25" ht="15" customHeight="1">
      <c r="B7" s="85"/>
      <c r="C7" s="115" t="s">
        <v>1919</v>
      </c>
      <c r="D7" s="115" t="s">
        <v>1680</v>
      </c>
      <c r="E7" s="115">
        <v>2021</v>
      </c>
      <c r="F7" s="115">
        <v>2020</v>
      </c>
      <c r="G7" s="115">
        <v>2019</v>
      </c>
      <c r="H7" s="115">
        <v>2018</v>
      </c>
      <c r="I7" s="115">
        <v>2017</v>
      </c>
      <c r="J7" s="115">
        <v>2016</v>
      </c>
      <c r="K7" s="115">
        <v>2015</v>
      </c>
      <c r="L7" s="115">
        <v>2014</v>
      </c>
      <c r="M7" s="115">
        <v>2013</v>
      </c>
      <c r="O7" s="94"/>
      <c r="P7" s="223"/>
      <c r="Q7" s="94"/>
      <c r="R7" s="94"/>
      <c r="S7" s="94"/>
      <c r="T7" s="94"/>
    </row>
    <row r="8" spans="2:25" ht="15" customHeight="1" thickBot="1">
      <c r="B8" s="84" t="s">
        <v>53</v>
      </c>
      <c r="C8" s="59" t="s">
        <v>59</v>
      </c>
      <c r="D8" s="59" t="s">
        <v>59</v>
      </c>
      <c r="E8" s="46" t="s">
        <v>59</v>
      </c>
      <c r="F8" s="46">
        <v>1224</v>
      </c>
      <c r="G8" s="46">
        <v>1183</v>
      </c>
      <c r="H8" s="46">
        <v>1215</v>
      </c>
      <c r="I8" s="46">
        <v>1314</v>
      </c>
      <c r="J8" s="46">
        <v>1364</v>
      </c>
      <c r="K8" s="46">
        <v>1459</v>
      </c>
      <c r="L8" s="46">
        <v>1551</v>
      </c>
      <c r="M8" s="46">
        <v>1641</v>
      </c>
      <c r="O8" s="121"/>
      <c r="P8" s="121"/>
      <c r="Q8" s="121"/>
      <c r="R8" s="121"/>
      <c r="S8" s="121"/>
      <c r="T8" s="121"/>
    </row>
    <row r="9" spans="2:25" ht="15" customHeight="1" thickBot="1">
      <c r="B9" s="84" t="s">
        <v>61</v>
      </c>
      <c r="C9" s="59" t="s">
        <v>59</v>
      </c>
      <c r="D9" s="59" t="s">
        <v>59</v>
      </c>
      <c r="E9" s="46" t="s">
        <v>59</v>
      </c>
      <c r="F9" s="46">
        <v>743</v>
      </c>
      <c r="G9" s="46">
        <v>732</v>
      </c>
      <c r="H9" s="46">
        <v>746</v>
      </c>
      <c r="I9" s="46">
        <v>788</v>
      </c>
      <c r="J9" s="46">
        <v>830</v>
      </c>
      <c r="K9" s="46">
        <v>905</v>
      </c>
      <c r="L9" s="46">
        <v>922</v>
      </c>
      <c r="M9" s="46">
        <v>970</v>
      </c>
      <c r="O9" s="121"/>
      <c r="P9" s="121"/>
      <c r="Q9" s="121"/>
      <c r="R9" s="121"/>
      <c r="S9" s="121"/>
      <c r="T9" s="121"/>
    </row>
    <row r="10" spans="2:25" ht="15" customHeight="1" thickBot="1">
      <c r="B10" s="84" t="s">
        <v>204</v>
      </c>
      <c r="C10" s="59" t="s">
        <v>59</v>
      </c>
      <c r="D10" s="59" t="s">
        <v>59</v>
      </c>
      <c r="E10" s="46" t="s">
        <v>59</v>
      </c>
      <c r="F10" s="46">
        <v>773</v>
      </c>
      <c r="G10" s="46">
        <v>775</v>
      </c>
      <c r="H10" s="46">
        <v>807</v>
      </c>
      <c r="I10" s="46">
        <v>921</v>
      </c>
      <c r="J10" s="46">
        <v>996</v>
      </c>
      <c r="K10" s="46">
        <v>1068</v>
      </c>
      <c r="L10" s="46">
        <v>1142</v>
      </c>
      <c r="M10" s="46">
        <v>1187</v>
      </c>
      <c r="O10" s="121"/>
      <c r="P10" s="121"/>
      <c r="Q10" s="121"/>
      <c r="R10" s="121"/>
      <c r="S10" s="121"/>
      <c r="T10" s="121"/>
    </row>
    <row r="11" spans="2:25" ht="15" customHeight="1" thickBot="1">
      <c r="B11" s="84" t="s">
        <v>205</v>
      </c>
      <c r="C11" s="59" t="s">
        <v>59</v>
      </c>
      <c r="D11" s="59" t="s">
        <v>59</v>
      </c>
      <c r="E11" s="46" t="s">
        <v>59</v>
      </c>
      <c r="F11" s="46">
        <v>195</v>
      </c>
      <c r="G11" s="46">
        <v>202</v>
      </c>
      <c r="H11" s="46">
        <v>175</v>
      </c>
      <c r="I11" s="46">
        <v>210</v>
      </c>
      <c r="J11" s="46">
        <v>214</v>
      </c>
      <c r="K11" s="46">
        <v>349</v>
      </c>
      <c r="L11" s="46">
        <v>352</v>
      </c>
      <c r="M11" s="46">
        <v>355</v>
      </c>
      <c r="O11" s="121"/>
      <c r="P11" s="121"/>
      <c r="Q11" s="121"/>
      <c r="R11" s="121"/>
      <c r="S11" s="121"/>
      <c r="T11" s="121"/>
    </row>
    <row r="12" spans="2:25" ht="15" customHeight="1">
      <c r="B12" s="97" t="s">
        <v>73</v>
      </c>
      <c r="C12" s="57" t="s">
        <v>59</v>
      </c>
      <c r="D12" s="57" t="s">
        <v>59</v>
      </c>
      <c r="E12" s="189" t="s">
        <v>59</v>
      </c>
      <c r="F12" s="189">
        <v>1314</v>
      </c>
      <c r="G12" s="189">
        <v>1306</v>
      </c>
      <c r="H12" s="189">
        <v>1363</v>
      </c>
      <c r="I12" s="189">
        <v>1648</v>
      </c>
      <c r="J12" s="189">
        <v>1903</v>
      </c>
      <c r="K12" s="189">
        <v>1995</v>
      </c>
      <c r="L12" s="189">
        <v>2207</v>
      </c>
      <c r="M12" s="189">
        <v>2235</v>
      </c>
      <c r="O12" s="121"/>
      <c r="P12" s="121"/>
      <c r="Q12" s="121"/>
      <c r="R12" s="121"/>
      <c r="S12" s="121"/>
      <c r="T12" s="121"/>
    </row>
    <row r="13" spans="2:25" ht="15" customHeight="1">
      <c r="B13" s="85" t="s">
        <v>52</v>
      </c>
      <c r="C13" s="115">
        <v>4212</v>
      </c>
      <c r="D13" s="115">
        <v>4229</v>
      </c>
      <c r="E13" s="111">
        <v>4218</v>
      </c>
      <c r="F13" s="111">
        <v>4299</v>
      </c>
      <c r="G13" s="111">
        <v>4244</v>
      </c>
      <c r="H13" s="111">
        <v>4353</v>
      </c>
      <c r="I13" s="111">
        <v>4936</v>
      </c>
      <c r="J13" s="111">
        <v>5365</v>
      </c>
      <c r="K13" s="111">
        <v>5831</v>
      </c>
      <c r="L13" s="111">
        <v>6222</v>
      </c>
      <c r="M13" s="111">
        <v>6430</v>
      </c>
      <c r="O13" s="207"/>
      <c r="P13" s="207"/>
      <c r="Q13" s="207"/>
      <c r="R13" s="207"/>
      <c r="S13" s="207"/>
      <c r="T13" s="207"/>
    </row>
    <row r="14" spans="2:25" ht="15" customHeight="1">
      <c r="B14" s="40" t="s">
        <v>355</v>
      </c>
      <c r="C14" s="20">
        <v>7122</v>
      </c>
      <c r="D14" s="20">
        <v>7134</v>
      </c>
      <c r="E14" s="122">
        <v>7009</v>
      </c>
      <c r="F14" s="122">
        <v>7069</v>
      </c>
      <c r="G14" s="122">
        <v>6824</v>
      </c>
      <c r="H14" s="122">
        <v>6918</v>
      </c>
      <c r="I14" s="122">
        <v>7421</v>
      </c>
      <c r="J14" s="122">
        <v>7837</v>
      </c>
      <c r="K14" s="122">
        <v>8328</v>
      </c>
      <c r="L14" s="122">
        <v>8688</v>
      </c>
      <c r="M14" s="122">
        <v>9147</v>
      </c>
      <c r="P14" s="122"/>
      <c r="Q14" s="122"/>
      <c r="R14" s="122"/>
      <c r="S14" s="122"/>
      <c r="T14" s="122"/>
      <c r="U14" s="122"/>
    </row>
    <row r="15" spans="2:25" ht="12" customHeight="1">
      <c r="B15" s="92" t="s">
        <v>206</v>
      </c>
      <c r="C15" s="1054"/>
      <c r="D15" s="1054"/>
    </row>
    <row r="16" spans="2:25">
      <c r="B16" s="193" t="s">
        <v>2067</v>
      </c>
      <c r="C16" s="1055"/>
      <c r="D16" s="1055"/>
    </row>
    <row r="17" spans="2:22">
      <c r="B17" s="193"/>
      <c r="C17" s="1055"/>
      <c r="D17" s="1055"/>
    </row>
    <row r="18" spans="2:22" ht="15.6">
      <c r="B18" s="83" t="s">
        <v>207</v>
      </c>
      <c r="C18" s="1048"/>
      <c r="D18" s="1048"/>
      <c r="Q18" s="102"/>
    </row>
    <row r="19" spans="2:22">
      <c r="B19" s="93" t="s">
        <v>137</v>
      </c>
      <c r="C19" s="1049"/>
      <c r="D19" s="1049"/>
      <c r="Q19" s="102"/>
    </row>
    <row r="20" spans="2:22">
      <c r="B20" s="85"/>
      <c r="C20" s="115">
        <v>2024</v>
      </c>
      <c r="D20" s="115">
        <v>2023</v>
      </c>
      <c r="E20" s="115">
        <v>2022</v>
      </c>
      <c r="F20" s="115">
        <v>2021</v>
      </c>
      <c r="G20" s="115">
        <v>2020</v>
      </c>
      <c r="H20" s="115">
        <v>2019</v>
      </c>
      <c r="I20" s="115">
        <v>2018</v>
      </c>
      <c r="J20" s="115">
        <v>2017</v>
      </c>
      <c r="K20" s="115">
        <v>2016</v>
      </c>
      <c r="L20" s="115">
        <v>2015</v>
      </c>
      <c r="M20" s="115">
        <v>2014</v>
      </c>
      <c r="N20" s="94"/>
    </row>
    <row r="21" spans="2:22" ht="27" customHeight="1" thickBot="1">
      <c r="B21" s="49" t="s">
        <v>208</v>
      </c>
      <c r="C21" s="60">
        <v>2672</v>
      </c>
      <c r="D21" s="60">
        <v>2592</v>
      </c>
      <c r="E21" s="60" t="s">
        <v>1786</v>
      </c>
      <c r="F21" s="45">
        <v>2387</v>
      </c>
      <c r="G21" s="45">
        <v>2611</v>
      </c>
      <c r="H21" s="45">
        <v>2716</v>
      </c>
      <c r="I21" s="45">
        <v>2818</v>
      </c>
      <c r="J21" s="45">
        <v>2535</v>
      </c>
      <c r="K21" s="45">
        <v>2343</v>
      </c>
      <c r="L21" s="45">
        <v>2893</v>
      </c>
      <c r="M21" s="45">
        <v>2958</v>
      </c>
      <c r="N21" s="122"/>
    </row>
    <row r="22" spans="2:22">
      <c r="B22" s="193" t="s">
        <v>2066</v>
      </c>
      <c r="C22" s="1055"/>
      <c r="D22" s="1055"/>
    </row>
    <row r="25" spans="2:22" ht="15.6">
      <c r="B25" s="83" t="s">
        <v>53</v>
      </c>
      <c r="C25" s="1048"/>
      <c r="D25" s="1048"/>
    </row>
    <row r="26" spans="2:22">
      <c r="B26" s="93" t="s">
        <v>200</v>
      </c>
      <c r="C26" s="1049"/>
      <c r="D26" s="1049"/>
    </row>
    <row r="27" spans="2:22">
      <c r="B27" s="93"/>
      <c r="C27" s="1049"/>
      <c r="D27" s="1049"/>
      <c r="E27" s="85">
        <v>2020</v>
      </c>
      <c r="G27" s="85">
        <v>2019</v>
      </c>
      <c r="I27" s="85">
        <v>2018</v>
      </c>
      <c r="K27" s="85">
        <v>2017</v>
      </c>
      <c r="M27" s="85">
        <v>2016</v>
      </c>
      <c r="O27" s="85">
        <v>2015</v>
      </c>
      <c r="Q27" s="85">
        <v>2014</v>
      </c>
      <c r="S27" s="85">
        <v>2013</v>
      </c>
      <c r="U27" s="85">
        <v>2012</v>
      </c>
    </row>
    <row r="28" spans="2:22">
      <c r="B28" s="85"/>
      <c r="C28" s="115"/>
      <c r="D28" s="115"/>
      <c r="E28" s="115" t="s">
        <v>0</v>
      </c>
      <c r="F28" s="115" t="s">
        <v>209</v>
      </c>
      <c r="G28" s="115" t="s">
        <v>0</v>
      </c>
      <c r="H28" s="115" t="s">
        <v>209</v>
      </c>
      <c r="I28" s="115" t="s">
        <v>0</v>
      </c>
      <c r="J28" s="115" t="s">
        <v>209</v>
      </c>
      <c r="K28" s="115" t="s">
        <v>0</v>
      </c>
      <c r="L28" s="115" t="s">
        <v>209</v>
      </c>
      <c r="M28" s="115" t="s">
        <v>0</v>
      </c>
      <c r="N28" s="115" t="s">
        <v>209</v>
      </c>
      <c r="O28" s="115" t="s">
        <v>0</v>
      </c>
      <c r="P28" s="115" t="s">
        <v>209</v>
      </c>
      <c r="Q28" s="115" t="s">
        <v>0</v>
      </c>
      <c r="R28" s="115" t="s">
        <v>209</v>
      </c>
      <c r="S28" s="115" t="s">
        <v>0</v>
      </c>
      <c r="T28" s="115" t="s">
        <v>209</v>
      </c>
      <c r="U28" s="115" t="s">
        <v>0</v>
      </c>
      <c r="V28" s="115" t="s">
        <v>209</v>
      </c>
    </row>
    <row r="29" spans="2:22" ht="15" thickBot="1">
      <c r="B29" s="84" t="s">
        <v>113</v>
      </c>
      <c r="C29" s="1046"/>
      <c r="D29" s="1046"/>
      <c r="E29" s="59">
        <v>239</v>
      </c>
      <c r="F29" s="59">
        <v>101</v>
      </c>
      <c r="G29" s="59">
        <v>247</v>
      </c>
      <c r="H29" s="95">
        <v>105</v>
      </c>
      <c r="I29" s="95">
        <v>282</v>
      </c>
      <c r="J29" s="95">
        <v>123</v>
      </c>
      <c r="K29" s="95">
        <v>293</v>
      </c>
      <c r="L29" s="95">
        <v>118</v>
      </c>
      <c r="M29" s="95">
        <v>292</v>
      </c>
      <c r="N29" s="95">
        <v>150</v>
      </c>
      <c r="O29" s="95">
        <v>306</v>
      </c>
      <c r="P29" s="95">
        <v>144</v>
      </c>
      <c r="Q29" s="95">
        <v>332</v>
      </c>
      <c r="R29" s="95">
        <v>177</v>
      </c>
      <c r="S29" s="95">
        <v>353</v>
      </c>
      <c r="T29" s="95">
        <v>200</v>
      </c>
      <c r="U29" s="95">
        <v>377</v>
      </c>
      <c r="V29" s="95">
        <v>198</v>
      </c>
    </row>
    <row r="30" spans="2:22" ht="15" thickBot="1">
      <c r="B30" s="84" t="s">
        <v>115</v>
      </c>
      <c r="C30" s="1046"/>
      <c r="D30" s="1046"/>
      <c r="E30" s="59">
        <v>303</v>
      </c>
      <c r="F30" s="59">
        <v>112</v>
      </c>
      <c r="G30" s="59">
        <v>309</v>
      </c>
      <c r="H30" s="95">
        <v>134</v>
      </c>
      <c r="I30" s="95">
        <v>314</v>
      </c>
      <c r="J30" s="95">
        <v>126</v>
      </c>
      <c r="K30" s="95">
        <v>341</v>
      </c>
      <c r="L30" s="95">
        <v>131</v>
      </c>
      <c r="M30" s="95">
        <v>374</v>
      </c>
      <c r="N30" s="95">
        <v>156</v>
      </c>
      <c r="O30" s="95">
        <v>405</v>
      </c>
      <c r="P30" s="95">
        <v>174</v>
      </c>
      <c r="Q30" s="95">
        <v>440</v>
      </c>
      <c r="R30" s="95">
        <v>199</v>
      </c>
      <c r="S30" s="95">
        <v>489</v>
      </c>
      <c r="T30" s="95">
        <v>233</v>
      </c>
      <c r="U30" s="95">
        <v>527</v>
      </c>
      <c r="V30" s="95">
        <v>270</v>
      </c>
    </row>
    <row r="31" spans="2:22" ht="15" thickBot="1">
      <c r="B31" s="84" t="s">
        <v>114</v>
      </c>
      <c r="C31" s="1046"/>
      <c r="D31" s="1046"/>
      <c r="E31" s="59">
        <v>78</v>
      </c>
      <c r="F31" s="59">
        <v>14</v>
      </c>
      <c r="G31" s="59">
        <v>91</v>
      </c>
      <c r="H31" s="95">
        <v>17</v>
      </c>
      <c r="I31" s="95">
        <v>95</v>
      </c>
      <c r="J31" s="95">
        <v>18</v>
      </c>
      <c r="K31" s="95">
        <v>125</v>
      </c>
      <c r="L31" s="95">
        <v>20</v>
      </c>
      <c r="M31" s="95">
        <v>136</v>
      </c>
      <c r="N31" s="95">
        <v>27</v>
      </c>
      <c r="O31" s="95">
        <v>161</v>
      </c>
      <c r="P31" s="95">
        <v>29</v>
      </c>
      <c r="Q31" s="95">
        <v>182</v>
      </c>
      <c r="R31" s="95">
        <v>33</v>
      </c>
      <c r="S31" s="95">
        <v>178</v>
      </c>
      <c r="T31" s="95">
        <v>40</v>
      </c>
      <c r="U31" s="95">
        <v>192</v>
      </c>
      <c r="V31" s="95">
        <v>41</v>
      </c>
    </row>
    <row r="32" spans="2:22" ht="15" thickBot="1">
      <c r="B32" s="84" t="s">
        <v>117</v>
      </c>
      <c r="C32" s="1046"/>
      <c r="D32" s="1046"/>
      <c r="E32" s="59">
        <v>39</v>
      </c>
      <c r="F32" s="59">
        <v>22</v>
      </c>
      <c r="G32" s="59">
        <v>47</v>
      </c>
      <c r="H32" s="95">
        <v>22</v>
      </c>
      <c r="I32" s="95">
        <v>50</v>
      </c>
      <c r="J32" s="95">
        <v>24</v>
      </c>
      <c r="K32" s="95">
        <v>49</v>
      </c>
      <c r="L32" s="95">
        <v>26</v>
      </c>
      <c r="M32" s="95">
        <v>62</v>
      </c>
      <c r="N32" s="95">
        <v>35</v>
      </c>
      <c r="O32" s="95">
        <v>77</v>
      </c>
      <c r="P32" s="95">
        <v>41</v>
      </c>
      <c r="Q32" s="95">
        <v>72</v>
      </c>
      <c r="R32" s="95">
        <v>43</v>
      </c>
      <c r="S32" s="95">
        <v>82</v>
      </c>
      <c r="T32" s="95">
        <v>46</v>
      </c>
      <c r="U32" s="95">
        <v>82</v>
      </c>
      <c r="V32" s="95">
        <v>46</v>
      </c>
    </row>
    <row r="33" spans="2:22" ht="15" thickBot="1">
      <c r="B33" s="84" t="s">
        <v>139</v>
      </c>
      <c r="C33" s="1046"/>
      <c r="D33" s="1046"/>
      <c r="E33" s="59">
        <v>65</v>
      </c>
      <c r="F33" s="59">
        <v>12</v>
      </c>
      <c r="G33" s="59">
        <v>66</v>
      </c>
      <c r="H33" s="95">
        <v>12</v>
      </c>
      <c r="I33" s="95">
        <v>52</v>
      </c>
      <c r="J33" s="95">
        <v>8</v>
      </c>
      <c r="K33" s="95">
        <v>53</v>
      </c>
      <c r="L33" s="95">
        <v>9</v>
      </c>
      <c r="M33" s="95">
        <v>40</v>
      </c>
      <c r="N33" s="95">
        <v>8</v>
      </c>
      <c r="O33" s="95">
        <v>39</v>
      </c>
      <c r="P33" s="95">
        <v>3</v>
      </c>
      <c r="Q33" s="95">
        <v>39</v>
      </c>
      <c r="R33" s="95">
        <v>4</v>
      </c>
      <c r="S33" s="95">
        <v>42</v>
      </c>
      <c r="T33" s="95">
        <v>4</v>
      </c>
      <c r="U33" s="95">
        <v>52</v>
      </c>
      <c r="V33" s="95">
        <v>5</v>
      </c>
    </row>
    <row r="34" spans="2:22" ht="15" thickBot="1">
      <c r="B34" s="84" t="s">
        <v>116</v>
      </c>
      <c r="C34" s="1046"/>
      <c r="D34" s="1046"/>
      <c r="E34" s="59">
        <v>23</v>
      </c>
      <c r="F34" s="59">
        <v>15</v>
      </c>
      <c r="G34" s="59">
        <v>21</v>
      </c>
      <c r="H34" s="95">
        <v>18</v>
      </c>
      <c r="I34" s="95">
        <v>25</v>
      </c>
      <c r="J34" s="95">
        <v>22</v>
      </c>
      <c r="K34" s="95">
        <v>30</v>
      </c>
      <c r="L34" s="95">
        <v>23</v>
      </c>
      <c r="M34" s="95">
        <v>42</v>
      </c>
      <c r="N34" s="95">
        <v>34</v>
      </c>
      <c r="O34" s="95">
        <v>46</v>
      </c>
      <c r="P34" s="95">
        <v>38</v>
      </c>
      <c r="Q34" s="95">
        <v>54</v>
      </c>
      <c r="R34" s="95">
        <v>42</v>
      </c>
      <c r="S34" s="95">
        <v>60</v>
      </c>
      <c r="T34" s="95">
        <v>50</v>
      </c>
      <c r="U34" s="95">
        <v>68</v>
      </c>
      <c r="V34" s="95">
        <v>47</v>
      </c>
    </row>
    <row r="35" spans="2:22" ht="15" thickBot="1">
      <c r="B35" s="84" t="s">
        <v>210</v>
      </c>
      <c r="C35" s="1046"/>
      <c r="D35" s="1046"/>
      <c r="E35" s="59">
        <v>65</v>
      </c>
      <c r="F35" s="59">
        <v>20</v>
      </c>
      <c r="G35" s="59">
        <v>39</v>
      </c>
      <c r="H35" s="95">
        <v>28</v>
      </c>
      <c r="I35" s="95">
        <v>33</v>
      </c>
      <c r="J35" s="95">
        <v>22</v>
      </c>
      <c r="K35" s="95">
        <v>33</v>
      </c>
      <c r="L35" s="95">
        <v>21</v>
      </c>
      <c r="M35" s="95">
        <v>34</v>
      </c>
      <c r="N35" s="95">
        <v>15</v>
      </c>
      <c r="O35" s="95">
        <v>40</v>
      </c>
      <c r="P35" s="95">
        <v>25</v>
      </c>
      <c r="Q35" s="95">
        <v>38</v>
      </c>
      <c r="R35" s="95">
        <v>35</v>
      </c>
      <c r="S35" s="95">
        <v>35</v>
      </c>
      <c r="T35" s="95">
        <v>22</v>
      </c>
      <c r="U35" s="95">
        <v>37</v>
      </c>
      <c r="V35" s="95">
        <v>24</v>
      </c>
    </row>
    <row r="36" spans="2:22" ht="15" thickBot="1">
      <c r="B36" s="84" t="s">
        <v>211</v>
      </c>
      <c r="C36" s="1046"/>
      <c r="D36" s="1046"/>
      <c r="E36" s="59">
        <v>14</v>
      </c>
      <c r="F36" s="59">
        <v>3</v>
      </c>
      <c r="G36" s="59">
        <v>15</v>
      </c>
      <c r="H36" s="95">
        <v>4</v>
      </c>
      <c r="I36" s="95">
        <v>14</v>
      </c>
      <c r="J36" s="95">
        <v>4</v>
      </c>
      <c r="K36" s="95">
        <v>17</v>
      </c>
      <c r="L36" s="95">
        <v>5</v>
      </c>
      <c r="M36" s="95">
        <v>16</v>
      </c>
      <c r="N36" s="95">
        <v>3</v>
      </c>
      <c r="O36" s="95">
        <v>17</v>
      </c>
      <c r="P36" s="95">
        <v>3</v>
      </c>
      <c r="Q36" s="95">
        <v>19</v>
      </c>
      <c r="R36" s="95">
        <v>4</v>
      </c>
      <c r="S36" s="95">
        <v>21</v>
      </c>
      <c r="T36" s="95">
        <v>4</v>
      </c>
      <c r="U36" s="95">
        <v>23</v>
      </c>
      <c r="V36" s="95">
        <v>5</v>
      </c>
    </row>
    <row r="37" spans="2:22" ht="15" thickBot="1">
      <c r="B37" s="84" t="s">
        <v>212</v>
      </c>
      <c r="C37" s="1046"/>
      <c r="D37" s="1046"/>
      <c r="E37" s="59">
        <v>9</v>
      </c>
      <c r="F37" s="59">
        <v>5</v>
      </c>
      <c r="G37" s="95">
        <v>14</v>
      </c>
      <c r="H37" s="95">
        <v>7</v>
      </c>
      <c r="I37" s="95">
        <v>14</v>
      </c>
      <c r="J37" s="95">
        <v>7</v>
      </c>
      <c r="K37" s="95">
        <v>14</v>
      </c>
      <c r="L37" s="95">
        <v>8</v>
      </c>
      <c r="M37" s="95">
        <v>20</v>
      </c>
      <c r="N37" s="95">
        <v>14</v>
      </c>
      <c r="O37" s="95">
        <v>21</v>
      </c>
      <c r="P37" s="95">
        <v>14</v>
      </c>
      <c r="Q37" s="95">
        <v>26</v>
      </c>
      <c r="R37" s="95">
        <v>19</v>
      </c>
      <c r="S37" s="95">
        <v>27</v>
      </c>
      <c r="T37" s="95">
        <v>19</v>
      </c>
      <c r="U37" s="95">
        <v>24</v>
      </c>
      <c r="V37" s="95">
        <v>19</v>
      </c>
    </row>
    <row r="38" spans="2:22" ht="15" thickBot="1">
      <c r="B38" s="84" t="s">
        <v>196</v>
      </c>
      <c r="C38" s="1046"/>
      <c r="D38" s="1046"/>
      <c r="E38" s="59">
        <v>12</v>
      </c>
      <c r="F38" s="59">
        <v>2</v>
      </c>
      <c r="G38" s="95">
        <v>12</v>
      </c>
      <c r="H38" s="95">
        <v>2</v>
      </c>
      <c r="I38" s="95">
        <v>13</v>
      </c>
      <c r="J38" s="95">
        <v>2</v>
      </c>
      <c r="K38" s="95">
        <v>17</v>
      </c>
      <c r="L38" s="95">
        <v>3</v>
      </c>
      <c r="M38" s="95">
        <v>12</v>
      </c>
      <c r="N38" s="95">
        <v>2</v>
      </c>
      <c r="O38" s="95">
        <v>12</v>
      </c>
      <c r="P38" s="95">
        <v>2</v>
      </c>
      <c r="Q38" s="95">
        <v>11</v>
      </c>
      <c r="R38" s="95">
        <v>2</v>
      </c>
      <c r="S38" s="95">
        <v>12</v>
      </c>
      <c r="T38" s="95">
        <v>2</v>
      </c>
      <c r="U38" s="95">
        <v>10</v>
      </c>
      <c r="V38" s="95">
        <v>2</v>
      </c>
    </row>
    <row r="39" spans="2:22" ht="15" thickBot="1">
      <c r="B39" s="84" t="s">
        <v>173</v>
      </c>
      <c r="C39" s="1046"/>
      <c r="D39" s="1046"/>
      <c r="E39" s="59">
        <v>8</v>
      </c>
      <c r="F39" s="59">
        <v>2</v>
      </c>
      <c r="G39" s="95">
        <v>8</v>
      </c>
      <c r="H39" s="95">
        <v>2</v>
      </c>
      <c r="I39" s="95">
        <v>7</v>
      </c>
      <c r="J39" s="95">
        <v>2</v>
      </c>
      <c r="K39" s="95">
        <v>9</v>
      </c>
      <c r="L39" s="95">
        <v>2</v>
      </c>
      <c r="M39" s="95">
        <v>10</v>
      </c>
      <c r="N39" s="95">
        <v>2</v>
      </c>
      <c r="O39" s="95">
        <v>13</v>
      </c>
      <c r="P39" s="95">
        <v>2</v>
      </c>
      <c r="Q39" s="95">
        <v>13</v>
      </c>
      <c r="R39" s="95">
        <v>2</v>
      </c>
      <c r="S39" s="95">
        <v>12</v>
      </c>
      <c r="T39" s="95">
        <v>4</v>
      </c>
      <c r="U39" s="95">
        <v>14</v>
      </c>
      <c r="V39" s="95">
        <v>6</v>
      </c>
    </row>
    <row r="40" spans="2:22" ht="15" thickBot="1">
      <c r="B40" s="84" t="s">
        <v>213</v>
      </c>
      <c r="C40" s="1046"/>
      <c r="D40" s="1046"/>
      <c r="E40" s="59">
        <v>21</v>
      </c>
      <c r="F40" s="59">
        <v>5</v>
      </c>
      <c r="G40" s="95">
        <v>21</v>
      </c>
      <c r="H40" s="95">
        <v>5</v>
      </c>
      <c r="I40" s="95">
        <v>20</v>
      </c>
      <c r="J40" s="95">
        <v>5</v>
      </c>
      <c r="K40" s="95">
        <v>18</v>
      </c>
      <c r="L40" s="95">
        <v>4</v>
      </c>
      <c r="M40" s="95">
        <v>17</v>
      </c>
      <c r="N40" s="95">
        <v>4</v>
      </c>
      <c r="O40" s="95">
        <v>19</v>
      </c>
      <c r="P40" s="95">
        <v>4</v>
      </c>
      <c r="Q40" s="95">
        <v>23</v>
      </c>
      <c r="R40" s="95">
        <v>8</v>
      </c>
      <c r="S40" s="95">
        <v>23</v>
      </c>
      <c r="T40" s="95">
        <v>8</v>
      </c>
      <c r="U40" s="95">
        <v>14</v>
      </c>
      <c r="V40" s="95">
        <v>6</v>
      </c>
    </row>
    <row r="41" spans="2:22" ht="15" thickBot="1">
      <c r="B41" s="84" t="s">
        <v>214</v>
      </c>
      <c r="C41" s="1046"/>
      <c r="D41" s="1046"/>
      <c r="E41" s="59">
        <v>2</v>
      </c>
      <c r="F41" s="59">
        <v>1</v>
      </c>
      <c r="G41" s="95">
        <v>1</v>
      </c>
      <c r="H41" s="95">
        <v>1</v>
      </c>
      <c r="I41" s="95">
        <v>2</v>
      </c>
      <c r="J41" s="95">
        <v>1</v>
      </c>
      <c r="K41" s="95">
        <v>3</v>
      </c>
      <c r="L41" s="95">
        <v>1</v>
      </c>
      <c r="M41" s="95">
        <v>4</v>
      </c>
      <c r="N41" s="95">
        <v>2</v>
      </c>
      <c r="O41" s="95">
        <v>4</v>
      </c>
      <c r="P41" s="95">
        <v>2</v>
      </c>
      <c r="Q41" s="95">
        <v>5</v>
      </c>
      <c r="R41" s="95">
        <v>1</v>
      </c>
      <c r="S41" s="95">
        <v>5</v>
      </c>
      <c r="T41" s="95">
        <v>1</v>
      </c>
      <c r="U41" s="95">
        <v>5</v>
      </c>
      <c r="V41" s="95">
        <v>2</v>
      </c>
    </row>
    <row r="42" spans="2:22" ht="15" thickBot="1">
      <c r="B42" s="84" t="s">
        <v>215</v>
      </c>
      <c r="C42" s="1046"/>
      <c r="D42" s="1046"/>
      <c r="E42" s="59">
        <v>4</v>
      </c>
      <c r="F42" s="59">
        <v>1</v>
      </c>
      <c r="G42" s="95">
        <v>4</v>
      </c>
      <c r="H42" s="95">
        <v>1</v>
      </c>
      <c r="I42" s="95">
        <v>4</v>
      </c>
      <c r="J42" s="95">
        <v>1</v>
      </c>
      <c r="K42" s="95">
        <v>4</v>
      </c>
      <c r="L42" s="95">
        <v>1</v>
      </c>
      <c r="M42" s="95">
        <v>8</v>
      </c>
      <c r="N42" s="95">
        <v>1</v>
      </c>
      <c r="O42" s="95">
        <v>9</v>
      </c>
      <c r="P42" s="95">
        <v>1</v>
      </c>
      <c r="Q42" s="95">
        <v>10</v>
      </c>
      <c r="R42" s="95">
        <v>1</v>
      </c>
      <c r="S42" s="95">
        <v>10</v>
      </c>
      <c r="T42" s="95">
        <v>1</v>
      </c>
      <c r="U42" s="95">
        <v>10</v>
      </c>
      <c r="V42" s="95">
        <v>1</v>
      </c>
    </row>
    <row r="43" spans="2:22" ht="15" thickBot="1">
      <c r="B43" s="84" t="s">
        <v>216</v>
      </c>
      <c r="C43" s="1046"/>
      <c r="D43" s="1046"/>
      <c r="E43" s="59">
        <v>11</v>
      </c>
      <c r="F43" s="59">
        <v>5</v>
      </c>
      <c r="G43" s="95">
        <v>8</v>
      </c>
      <c r="H43" s="95">
        <v>4</v>
      </c>
      <c r="I43" s="95">
        <v>5</v>
      </c>
      <c r="J43" s="95">
        <v>7</v>
      </c>
      <c r="K43" s="95">
        <v>6</v>
      </c>
      <c r="L43" s="95">
        <v>4</v>
      </c>
      <c r="M43" s="95">
        <v>6</v>
      </c>
      <c r="N43" s="95">
        <v>4</v>
      </c>
      <c r="O43" s="95">
        <v>5</v>
      </c>
      <c r="P43" s="95">
        <v>2</v>
      </c>
      <c r="Q43" s="95">
        <v>8</v>
      </c>
      <c r="R43" s="95">
        <v>4</v>
      </c>
      <c r="S43" s="95">
        <v>8</v>
      </c>
      <c r="T43" s="95">
        <v>5</v>
      </c>
      <c r="U43" s="95">
        <v>6</v>
      </c>
      <c r="V43" s="95">
        <v>4</v>
      </c>
    </row>
    <row r="44" spans="2:22" ht="15" thickBot="1">
      <c r="B44" s="84" t="s">
        <v>217</v>
      </c>
      <c r="C44" s="1046"/>
      <c r="D44" s="1046"/>
      <c r="E44" s="59">
        <v>7</v>
      </c>
      <c r="F44" s="59">
        <v>2</v>
      </c>
      <c r="G44" s="95">
        <v>7</v>
      </c>
      <c r="H44" s="95">
        <v>2</v>
      </c>
      <c r="I44" s="95">
        <v>8</v>
      </c>
      <c r="J44" s="95">
        <v>2</v>
      </c>
      <c r="K44" s="95">
        <v>7</v>
      </c>
      <c r="L44" s="95">
        <v>2</v>
      </c>
      <c r="M44" s="95">
        <v>6</v>
      </c>
      <c r="N44" s="95">
        <v>0</v>
      </c>
      <c r="O44" s="95">
        <v>7</v>
      </c>
      <c r="P44" s="95">
        <v>1</v>
      </c>
      <c r="Q44" s="95">
        <v>8</v>
      </c>
      <c r="R44" s="95">
        <v>1</v>
      </c>
      <c r="S44" s="95">
        <v>8</v>
      </c>
      <c r="T44" s="95">
        <v>1</v>
      </c>
      <c r="U44" s="95">
        <v>7</v>
      </c>
      <c r="V44" s="95">
        <v>0</v>
      </c>
    </row>
    <row r="45" spans="2:22" ht="15" thickBot="1">
      <c r="B45" s="84" t="s">
        <v>218</v>
      </c>
      <c r="C45" s="1046"/>
      <c r="D45" s="1046"/>
      <c r="E45" s="59">
        <v>7</v>
      </c>
      <c r="F45" s="59">
        <v>1</v>
      </c>
      <c r="G45" s="95">
        <v>5</v>
      </c>
      <c r="H45" s="95">
        <v>1</v>
      </c>
      <c r="I45" s="95">
        <v>5</v>
      </c>
      <c r="J45" s="95">
        <v>1</v>
      </c>
      <c r="K45" s="95">
        <v>3</v>
      </c>
      <c r="L45" s="95">
        <v>0</v>
      </c>
      <c r="M45" s="95">
        <v>3</v>
      </c>
      <c r="N45" s="95">
        <v>1</v>
      </c>
      <c r="O45" s="95">
        <v>3</v>
      </c>
      <c r="P45" s="95">
        <v>1</v>
      </c>
      <c r="Q45" s="95">
        <v>4</v>
      </c>
      <c r="R45" s="95">
        <v>1</v>
      </c>
      <c r="S45" s="95">
        <v>5</v>
      </c>
      <c r="T45" s="95">
        <v>1</v>
      </c>
      <c r="U45" s="95">
        <v>4</v>
      </c>
      <c r="V45" s="95">
        <v>1</v>
      </c>
    </row>
    <row r="46" spans="2:22" ht="15" thickBot="1">
      <c r="B46" s="84" t="s">
        <v>219</v>
      </c>
      <c r="C46" s="1046"/>
      <c r="D46" s="1046"/>
      <c r="E46" s="59">
        <v>21</v>
      </c>
      <c r="F46" s="59">
        <v>3</v>
      </c>
      <c r="G46" s="95">
        <v>18</v>
      </c>
      <c r="H46" s="95">
        <v>3</v>
      </c>
      <c r="I46" s="95">
        <v>17</v>
      </c>
      <c r="J46" s="95">
        <v>4</v>
      </c>
      <c r="K46" s="95">
        <v>26</v>
      </c>
      <c r="L46" s="95">
        <v>4</v>
      </c>
      <c r="M46" s="95">
        <v>22</v>
      </c>
      <c r="N46" s="95">
        <v>3</v>
      </c>
      <c r="O46" s="95">
        <v>21</v>
      </c>
      <c r="P46" s="95">
        <v>4</v>
      </c>
      <c r="Q46" s="95">
        <v>19</v>
      </c>
      <c r="R46" s="95">
        <v>5</v>
      </c>
      <c r="S46" s="95">
        <v>18</v>
      </c>
      <c r="T46" s="95">
        <v>4</v>
      </c>
      <c r="U46" s="95">
        <v>18</v>
      </c>
      <c r="V46" s="95">
        <v>4</v>
      </c>
    </row>
    <row r="47" spans="2:22" ht="15" thickBot="1">
      <c r="B47" s="84" t="s">
        <v>201</v>
      </c>
      <c r="C47" s="1046"/>
      <c r="D47" s="1046"/>
      <c r="E47" s="59">
        <v>12</v>
      </c>
      <c r="F47" s="59">
        <v>5</v>
      </c>
      <c r="G47" s="95">
        <v>13</v>
      </c>
      <c r="H47" s="95">
        <v>5</v>
      </c>
      <c r="I47" s="95">
        <v>13</v>
      </c>
      <c r="J47" s="95">
        <v>5</v>
      </c>
      <c r="K47" s="95">
        <v>13</v>
      </c>
      <c r="L47" s="95">
        <v>7</v>
      </c>
      <c r="M47" s="95">
        <v>15</v>
      </c>
      <c r="N47" s="95">
        <v>5</v>
      </c>
      <c r="O47" s="95">
        <v>15</v>
      </c>
      <c r="P47" s="95">
        <v>6</v>
      </c>
      <c r="Q47" s="95">
        <v>13</v>
      </c>
      <c r="R47" s="95">
        <v>5</v>
      </c>
      <c r="S47" s="95">
        <v>12</v>
      </c>
      <c r="T47" s="95">
        <v>5</v>
      </c>
      <c r="U47" s="95">
        <v>11</v>
      </c>
      <c r="V47" s="95">
        <v>7</v>
      </c>
    </row>
    <row r="48" spans="2:22" ht="15" thickBot="1">
      <c r="B48" s="84" t="s">
        <v>220</v>
      </c>
      <c r="C48" s="1046"/>
      <c r="D48" s="1046"/>
      <c r="E48" s="59">
        <v>2</v>
      </c>
      <c r="F48" s="59">
        <v>0</v>
      </c>
      <c r="G48" s="95">
        <v>1</v>
      </c>
      <c r="H48" s="128">
        <v>0</v>
      </c>
      <c r="I48" s="95">
        <v>1</v>
      </c>
      <c r="J48" s="128">
        <v>0</v>
      </c>
      <c r="K48" s="95">
        <v>1</v>
      </c>
      <c r="L48" s="128">
        <v>0</v>
      </c>
      <c r="M48" s="95">
        <v>1</v>
      </c>
      <c r="N48" s="128">
        <v>0</v>
      </c>
      <c r="O48" s="95">
        <v>1</v>
      </c>
      <c r="P48" s="128">
        <v>0</v>
      </c>
      <c r="Q48" s="95">
        <v>1</v>
      </c>
      <c r="R48" s="128">
        <v>0</v>
      </c>
      <c r="S48" s="95">
        <v>1</v>
      </c>
      <c r="T48" s="128">
        <v>0</v>
      </c>
      <c r="U48" s="95">
        <v>2</v>
      </c>
      <c r="V48" s="128">
        <v>0</v>
      </c>
    </row>
    <row r="49" spans="2:22" ht="15" thickBot="1">
      <c r="B49" s="84" t="s">
        <v>221</v>
      </c>
      <c r="C49" s="1046"/>
      <c r="D49" s="1046"/>
      <c r="E49" s="59">
        <v>2</v>
      </c>
      <c r="F49" s="59">
        <v>0</v>
      </c>
      <c r="G49" s="95">
        <v>2</v>
      </c>
      <c r="H49" s="128">
        <v>0</v>
      </c>
      <c r="I49" s="95">
        <v>2</v>
      </c>
      <c r="J49" s="128">
        <v>0</v>
      </c>
      <c r="K49" s="95">
        <v>2</v>
      </c>
      <c r="L49" s="128">
        <v>0</v>
      </c>
      <c r="M49" s="95">
        <v>2</v>
      </c>
      <c r="N49" s="128">
        <v>0</v>
      </c>
      <c r="O49" s="95">
        <v>3</v>
      </c>
      <c r="P49" s="128">
        <v>0</v>
      </c>
      <c r="Q49" s="95">
        <v>3</v>
      </c>
      <c r="R49" s="128">
        <v>0</v>
      </c>
      <c r="S49" s="95">
        <v>4</v>
      </c>
      <c r="T49" s="128">
        <v>0</v>
      </c>
      <c r="U49" s="95">
        <v>5</v>
      </c>
      <c r="V49" s="128">
        <v>0</v>
      </c>
    </row>
    <row r="50" spans="2:22" ht="15" thickBot="1">
      <c r="B50" s="84" t="s">
        <v>222</v>
      </c>
      <c r="C50" s="1046"/>
      <c r="D50" s="1046"/>
      <c r="E50" s="59">
        <v>0</v>
      </c>
      <c r="F50" s="59">
        <v>0</v>
      </c>
      <c r="G50" s="95">
        <v>0</v>
      </c>
      <c r="H50" s="128">
        <v>0</v>
      </c>
      <c r="I50" s="95">
        <v>0</v>
      </c>
      <c r="J50" s="128">
        <v>0</v>
      </c>
      <c r="K50" s="95">
        <v>0</v>
      </c>
      <c r="L50" s="128">
        <v>0</v>
      </c>
      <c r="M50" s="95">
        <v>1</v>
      </c>
      <c r="N50" s="128">
        <v>0</v>
      </c>
      <c r="O50" s="95">
        <v>3</v>
      </c>
      <c r="P50" s="128">
        <v>0</v>
      </c>
      <c r="Q50" s="95">
        <v>2</v>
      </c>
      <c r="R50" s="128">
        <v>0</v>
      </c>
      <c r="S50" s="95">
        <v>7</v>
      </c>
      <c r="T50" s="128">
        <v>0</v>
      </c>
      <c r="U50" s="95">
        <v>6</v>
      </c>
      <c r="V50" s="128">
        <v>0</v>
      </c>
    </row>
    <row r="51" spans="2:22" ht="15" thickBot="1">
      <c r="B51" s="84" t="s">
        <v>223</v>
      </c>
      <c r="C51" s="1046"/>
      <c r="D51" s="1046"/>
      <c r="E51" s="59">
        <v>5</v>
      </c>
      <c r="F51" s="59">
        <v>0</v>
      </c>
      <c r="G51" s="95">
        <v>3</v>
      </c>
      <c r="H51" s="128">
        <v>1</v>
      </c>
      <c r="I51" s="95">
        <v>4</v>
      </c>
      <c r="J51" s="128">
        <v>1</v>
      </c>
      <c r="K51" s="95">
        <v>4</v>
      </c>
      <c r="L51" s="128">
        <v>1</v>
      </c>
      <c r="M51" s="95">
        <v>3</v>
      </c>
      <c r="N51" s="128">
        <v>1</v>
      </c>
      <c r="O51" s="95">
        <v>2</v>
      </c>
      <c r="P51" s="128">
        <v>0</v>
      </c>
      <c r="Q51" s="95">
        <v>3</v>
      </c>
      <c r="R51" s="128">
        <v>0</v>
      </c>
      <c r="S51" s="95">
        <v>3</v>
      </c>
      <c r="T51" s="128">
        <v>0</v>
      </c>
      <c r="U51" s="95">
        <v>3</v>
      </c>
      <c r="V51" s="128">
        <v>0</v>
      </c>
    </row>
    <row r="52" spans="2:22">
      <c r="B52" s="97" t="s">
        <v>129</v>
      </c>
      <c r="C52" s="171"/>
      <c r="D52" s="171"/>
      <c r="E52" s="102">
        <v>228</v>
      </c>
      <c r="F52" s="57">
        <v>33</v>
      </c>
      <c r="G52" s="57">
        <v>203</v>
      </c>
      <c r="H52" s="130">
        <v>31</v>
      </c>
      <c r="I52" s="129">
        <v>134</v>
      </c>
      <c r="J52" s="130">
        <v>39</v>
      </c>
      <c r="K52" s="129">
        <v>192</v>
      </c>
      <c r="L52" s="130">
        <v>41</v>
      </c>
      <c r="M52" s="129">
        <v>188</v>
      </c>
      <c r="N52" s="130">
        <v>38</v>
      </c>
      <c r="O52" s="129">
        <v>173</v>
      </c>
      <c r="P52" s="130">
        <v>33</v>
      </c>
      <c r="Q52" s="129">
        <v>155</v>
      </c>
      <c r="R52" s="130">
        <v>26</v>
      </c>
      <c r="S52" s="129">
        <v>168</v>
      </c>
      <c r="T52" s="130">
        <v>26</v>
      </c>
      <c r="U52" s="129">
        <v>227</v>
      </c>
      <c r="V52" s="130">
        <v>0</v>
      </c>
    </row>
    <row r="53" spans="2:22">
      <c r="B53" s="85" t="s">
        <v>52</v>
      </c>
      <c r="C53" s="115"/>
      <c r="D53" s="115"/>
      <c r="E53" s="85">
        <v>1224</v>
      </c>
      <c r="F53" s="85">
        <v>370</v>
      </c>
      <c r="G53" s="110">
        <v>1183</v>
      </c>
      <c r="H53" s="85">
        <v>415</v>
      </c>
      <c r="I53" s="110">
        <v>1215</v>
      </c>
      <c r="J53" s="85">
        <v>433</v>
      </c>
      <c r="K53" s="110">
        <v>1314</v>
      </c>
      <c r="L53" s="85">
        <v>440</v>
      </c>
      <c r="M53" s="110">
        <v>1364</v>
      </c>
      <c r="N53" s="85">
        <v>514</v>
      </c>
      <c r="O53" s="110">
        <v>1459</v>
      </c>
      <c r="P53" s="85">
        <v>540</v>
      </c>
      <c r="Q53" s="110">
        <v>1551</v>
      </c>
      <c r="R53" s="85">
        <v>626</v>
      </c>
      <c r="S53" s="110">
        <v>1641</v>
      </c>
      <c r="T53" s="85">
        <v>688</v>
      </c>
      <c r="U53" s="110">
        <v>1724</v>
      </c>
      <c r="V53" s="85">
        <v>726</v>
      </c>
    </row>
    <row r="54" spans="2:22">
      <c r="B54" s="92" t="s">
        <v>206</v>
      </c>
      <c r="C54" s="1054"/>
      <c r="D54" s="1054"/>
    </row>
    <row r="57" spans="2:22" ht="15.6">
      <c r="B57" s="83" t="s">
        <v>224</v>
      </c>
      <c r="C57" s="1048"/>
      <c r="D57" s="1048"/>
    </row>
    <row r="58" spans="2:22">
      <c r="B58" s="93" t="s">
        <v>4</v>
      </c>
      <c r="C58" s="1049"/>
      <c r="D58" s="1049"/>
    </row>
    <row r="59" spans="2:22">
      <c r="B59" s="85"/>
      <c r="C59" s="115"/>
      <c r="D59" s="115"/>
      <c r="E59" s="115">
        <v>2020</v>
      </c>
      <c r="F59" s="115">
        <v>2019</v>
      </c>
      <c r="G59" s="115">
        <v>2018</v>
      </c>
      <c r="H59" s="115">
        <v>2017</v>
      </c>
      <c r="I59" s="115">
        <v>2016</v>
      </c>
      <c r="J59" s="115">
        <v>2015</v>
      </c>
      <c r="K59" s="115">
        <v>2014</v>
      </c>
      <c r="L59" s="115">
        <v>2013</v>
      </c>
      <c r="M59" s="115">
        <v>2012</v>
      </c>
      <c r="O59" s="94"/>
    </row>
    <row r="60" spans="2:22">
      <c r="B60" s="117" t="s">
        <v>53</v>
      </c>
      <c r="C60" s="102"/>
      <c r="D60" s="102"/>
      <c r="E60" s="20">
        <v>126</v>
      </c>
      <c r="F60" s="117">
        <v>132</v>
      </c>
      <c r="G60" s="225">
        <v>133</v>
      </c>
      <c r="H60" s="225">
        <v>136</v>
      </c>
      <c r="I60" s="225">
        <v>132</v>
      </c>
      <c r="J60" s="225">
        <v>162</v>
      </c>
      <c r="K60" s="225">
        <v>197</v>
      </c>
      <c r="L60" s="225">
        <v>195</v>
      </c>
      <c r="M60" s="225">
        <v>184.26428165007113</v>
      </c>
    </row>
    <row r="61" spans="2:22">
      <c r="B61" s="194" t="s">
        <v>225</v>
      </c>
      <c r="C61" s="6"/>
      <c r="D61" s="6"/>
      <c r="E61" s="85">
        <v>392</v>
      </c>
      <c r="F61" s="194">
        <v>385</v>
      </c>
      <c r="G61" s="149">
        <v>400</v>
      </c>
      <c r="H61" s="149">
        <v>421</v>
      </c>
      <c r="I61" s="149">
        <v>417</v>
      </c>
      <c r="J61" s="149">
        <v>471</v>
      </c>
      <c r="K61" s="149">
        <v>524</v>
      </c>
      <c r="L61" s="149">
        <v>548</v>
      </c>
      <c r="M61" s="149">
        <v>538.16243812233279</v>
      </c>
      <c r="O61" s="103"/>
    </row>
    <row r="62" spans="2:22" ht="12" customHeight="1">
      <c r="B62" s="92" t="s">
        <v>206</v>
      </c>
      <c r="C62" s="1054"/>
      <c r="D62" s="1054"/>
    </row>
    <row r="69" spans="1:13">
      <c r="B69">
        <v>2020</v>
      </c>
      <c r="G69">
        <v>2021</v>
      </c>
    </row>
    <row r="70" spans="1:13">
      <c r="B70" t="s">
        <v>500</v>
      </c>
      <c r="E70" t="s">
        <v>501</v>
      </c>
      <c r="G70" t="s">
        <v>500</v>
      </c>
      <c r="H70" t="s">
        <v>501</v>
      </c>
    </row>
    <row r="71" spans="1:13">
      <c r="B71">
        <v>1345</v>
      </c>
      <c r="E71">
        <v>1</v>
      </c>
      <c r="G71">
        <v>1354</v>
      </c>
      <c r="H71">
        <v>1</v>
      </c>
    </row>
    <row r="72" spans="1:13">
      <c r="B72" s="223" t="s">
        <v>503</v>
      </c>
    </row>
    <row r="74" spans="1:13" s="873" customFormat="1">
      <c r="A74"/>
      <c r="B74" s="1130"/>
      <c r="C74" s="1128"/>
      <c r="D74" s="1128"/>
      <c r="E74" s="1127"/>
      <c r="F74" s="1131"/>
      <c r="G74" s="1129"/>
      <c r="H74" s="1129"/>
      <c r="I74" s="1129"/>
      <c r="J74" s="1129"/>
      <c r="K74" s="1129"/>
      <c r="L74" s="1129"/>
      <c r="M74" s="1129"/>
    </row>
  </sheetData>
  <phoneticPr fontId="138" type="noConversion"/>
  <hyperlinks>
    <hyperlink ref="Y4" r:id="rId1" xr:uid="{00000000-0004-0000-1A00-000000000000}"/>
    <hyperlink ref="B22" r:id="rId2" location="SelectStatsBoxDiv" display="Source: Korean Statistical Information Service (KOSIS),Statistical Database, 2019" xr:uid="{00000000-0004-0000-1A00-000001000000}"/>
    <hyperlink ref="B72" r:id="rId3" xr:uid="{2255DEA5-40D7-415C-836C-22A9A3848C21}"/>
    <hyperlink ref="B16" r:id="rId4" location="SelectStatsBoxDiv" display="Source: Korean Statistical Information Service (KOSIS),Statistical Database, 2019" xr:uid="{0B680C08-B856-4EEE-8045-51B3970A5614}"/>
  </hyperlinks>
  <pageMargins left="0.7" right="0.7" top="0.78740157499999996" bottom="0.78740157499999996" header="0.3" footer="0.3"/>
  <pageSetup paperSize="9" orientation="portrait" r:id="rId5"/>
  <legacyDrawing r:id="rId6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00B050"/>
  </sheetPr>
  <dimension ref="B2:O47"/>
  <sheetViews>
    <sheetView showGridLines="0" topLeftCell="A34" zoomScaleNormal="100" workbookViewId="0">
      <selection activeCell="B47" sqref="B47"/>
    </sheetView>
  </sheetViews>
  <sheetFormatPr defaultColWidth="10.88671875" defaultRowHeight="14.4"/>
  <cols>
    <col min="2" max="2" width="31" customWidth="1"/>
    <col min="3" max="3" width="8" style="464" customWidth="1"/>
    <col min="4" max="14" width="8" customWidth="1"/>
  </cols>
  <sheetData>
    <row r="2" spans="2:11" ht="15.6">
      <c r="B2" s="83" t="s">
        <v>369</v>
      </c>
      <c r="C2" s="1048"/>
    </row>
    <row r="3" spans="2:11" ht="15.6">
      <c r="B3" s="83"/>
      <c r="C3" s="1048"/>
    </row>
    <row r="4" spans="2:11" ht="15.6">
      <c r="B4" s="83" t="s">
        <v>56</v>
      </c>
      <c r="C4" s="1048"/>
    </row>
    <row r="5" spans="2:11" ht="13.5" customHeight="1">
      <c r="B5" s="5" t="s">
        <v>481</v>
      </c>
      <c r="C5" s="1060"/>
    </row>
    <row r="6" spans="2:11">
      <c r="B6" s="11"/>
      <c r="C6" s="115">
        <v>2023</v>
      </c>
      <c r="D6" s="115">
        <v>2022</v>
      </c>
      <c r="E6" s="115">
        <v>2021</v>
      </c>
      <c r="F6" s="115">
        <v>2020</v>
      </c>
      <c r="G6" s="115">
        <v>2019</v>
      </c>
      <c r="H6" s="115">
        <v>2018</v>
      </c>
      <c r="I6" s="115">
        <v>2017</v>
      </c>
      <c r="J6" s="115">
        <v>2016</v>
      </c>
      <c r="K6" s="115">
        <v>2015</v>
      </c>
    </row>
    <row r="7" spans="2:11" ht="17.25" customHeight="1" thickBot="1">
      <c r="B7" s="84" t="s">
        <v>476</v>
      </c>
      <c r="C7" s="95">
        <v>2445</v>
      </c>
      <c r="D7" s="95">
        <v>2439</v>
      </c>
      <c r="E7" s="1221">
        <v>2407</v>
      </c>
      <c r="F7" s="213">
        <v>2485</v>
      </c>
      <c r="G7" s="46">
        <v>2556</v>
      </c>
      <c r="H7" s="46">
        <v>2509</v>
      </c>
      <c r="I7" s="46">
        <v>2464</v>
      </c>
      <c r="J7" s="46">
        <v>2421</v>
      </c>
      <c r="K7" s="46">
        <v>2469</v>
      </c>
    </row>
    <row r="8" spans="2:11" ht="15" thickBot="1">
      <c r="B8" s="84" t="s">
        <v>477</v>
      </c>
      <c r="C8" s="95">
        <v>66</v>
      </c>
      <c r="D8" s="95">
        <v>64</v>
      </c>
      <c r="E8" s="95">
        <v>63</v>
      </c>
      <c r="F8" s="213">
        <v>60</v>
      </c>
      <c r="G8" s="46">
        <v>62</v>
      </c>
      <c r="H8" s="46">
        <v>61</v>
      </c>
      <c r="I8" s="46">
        <v>60</v>
      </c>
      <c r="J8" s="46">
        <v>59</v>
      </c>
      <c r="K8" s="46">
        <v>60</v>
      </c>
    </row>
    <row r="9" spans="2:11" ht="15" thickBot="1">
      <c r="B9" s="84" t="s">
        <v>478</v>
      </c>
      <c r="C9" s="95">
        <v>79</v>
      </c>
      <c r="D9" s="95">
        <v>77</v>
      </c>
      <c r="E9" s="95">
        <v>76</v>
      </c>
      <c r="F9" s="213">
        <v>74</v>
      </c>
      <c r="G9" s="46">
        <v>76</v>
      </c>
      <c r="H9" s="46">
        <v>74</v>
      </c>
      <c r="I9" s="46">
        <v>73</v>
      </c>
      <c r="J9" s="46">
        <v>72</v>
      </c>
      <c r="K9" s="46">
        <v>74</v>
      </c>
    </row>
    <row r="10" spans="2:11">
      <c r="B10" s="97" t="s">
        <v>479</v>
      </c>
      <c r="C10" s="129">
        <v>8</v>
      </c>
      <c r="D10" s="129">
        <v>8</v>
      </c>
      <c r="E10" s="129">
        <v>8</v>
      </c>
      <c r="F10" s="1119">
        <v>8</v>
      </c>
      <c r="G10" s="189">
        <v>8</v>
      </c>
      <c r="H10" s="189">
        <v>8</v>
      </c>
      <c r="I10" s="189">
        <v>8</v>
      </c>
      <c r="J10" s="189">
        <v>8</v>
      </c>
      <c r="K10" s="189">
        <v>8</v>
      </c>
    </row>
    <row r="11" spans="2:11">
      <c r="B11" s="185" t="s">
        <v>52</v>
      </c>
      <c r="C11" s="184">
        <f>C7+C8+C9+C10</f>
        <v>2598</v>
      </c>
      <c r="D11" s="184">
        <f>D7+D8+D9+D10</f>
        <v>2588</v>
      </c>
      <c r="E11" s="184">
        <f>E7+E8+E9+E10</f>
        <v>2554</v>
      </c>
      <c r="F11" s="184">
        <v>2628</v>
      </c>
      <c r="G11" s="184">
        <v>2702</v>
      </c>
      <c r="H11" s="184">
        <v>2652</v>
      </c>
      <c r="I11" s="184">
        <v>2605</v>
      </c>
      <c r="J11" s="184">
        <v>2559</v>
      </c>
      <c r="K11" s="184">
        <v>2610</v>
      </c>
    </row>
    <row r="12" spans="2:11">
      <c r="B12" s="1022" t="s">
        <v>2056</v>
      </c>
      <c r="C12" s="1061"/>
    </row>
    <row r="16" spans="2:11" ht="15.6">
      <c r="B16" s="83" t="s">
        <v>56</v>
      </c>
      <c r="C16" s="1048"/>
    </row>
    <row r="17" spans="2:15">
      <c r="B17" s="5" t="s">
        <v>480</v>
      </c>
      <c r="C17" s="1060"/>
    </row>
    <row r="18" spans="2:15" ht="15.75" customHeight="1">
      <c r="B18" s="115"/>
      <c r="C18" s="115">
        <v>2023</v>
      </c>
      <c r="D18" s="115">
        <v>2022</v>
      </c>
      <c r="E18" s="115">
        <v>2021</v>
      </c>
      <c r="F18" s="115">
        <v>2020</v>
      </c>
      <c r="G18" s="115">
        <v>2019</v>
      </c>
      <c r="H18" s="115">
        <v>2018</v>
      </c>
      <c r="I18" s="115">
        <v>2017</v>
      </c>
      <c r="J18" s="115">
        <v>2016</v>
      </c>
      <c r="K18" s="115">
        <v>2015</v>
      </c>
      <c r="L18" s="115">
        <v>2014</v>
      </c>
      <c r="M18" s="115">
        <v>2013</v>
      </c>
      <c r="N18" s="94"/>
      <c r="O18" s="94"/>
    </row>
    <row r="19" spans="2:15" ht="15.75" customHeight="1" thickBot="1">
      <c r="B19" s="49" t="s">
        <v>482</v>
      </c>
      <c r="C19" s="1144">
        <v>2598</v>
      </c>
      <c r="D19" s="1140">
        <v>2588</v>
      </c>
      <c r="E19" s="204">
        <v>2554</v>
      </c>
      <c r="F19" s="204">
        <v>2627</v>
      </c>
      <c r="G19" s="46">
        <v>2702</v>
      </c>
      <c r="H19" s="46">
        <v>2652</v>
      </c>
      <c r="I19" s="46">
        <v>2605</v>
      </c>
      <c r="J19" s="46">
        <v>2559</v>
      </c>
      <c r="K19" s="46">
        <v>2610</v>
      </c>
      <c r="L19" s="46">
        <v>2619</v>
      </c>
      <c r="M19" s="46">
        <v>2570</v>
      </c>
      <c r="N19" s="121"/>
      <c r="O19" s="121"/>
    </row>
    <row r="20" spans="2:15" ht="15.75" customHeight="1" thickBot="1">
      <c r="B20" s="212" t="s">
        <v>483</v>
      </c>
      <c r="C20" s="1239">
        <v>358588</v>
      </c>
      <c r="D20" s="1252">
        <v>355424</v>
      </c>
      <c r="E20" s="1120">
        <v>348327</v>
      </c>
      <c r="F20" s="1120">
        <v>402409</v>
      </c>
      <c r="G20" s="188">
        <v>528096</v>
      </c>
      <c r="H20" s="188">
        <v>518249</v>
      </c>
      <c r="I20" s="188">
        <v>509086</v>
      </c>
      <c r="J20" s="188">
        <v>500084</v>
      </c>
      <c r="K20" s="188">
        <v>510290</v>
      </c>
      <c r="L20" s="188">
        <v>498967</v>
      </c>
      <c r="M20" s="188">
        <v>484434</v>
      </c>
      <c r="N20" s="121"/>
      <c r="O20" s="121"/>
    </row>
    <row r="21" spans="2:15" ht="15.75" customHeight="1" thickBot="1">
      <c r="B21" s="212" t="s">
        <v>484</v>
      </c>
      <c r="C21" s="1239">
        <v>237</v>
      </c>
      <c r="D21" s="1252">
        <v>236</v>
      </c>
      <c r="E21" s="963">
        <v>231</v>
      </c>
      <c r="F21" s="963">
        <v>267</v>
      </c>
      <c r="G21" s="188">
        <v>350</v>
      </c>
      <c r="H21" s="188">
        <v>343.76499999999999</v>
      </c>
      <c r="I21" s="188">
        <v>337.68700000000001</v>
      </c>
      <c r="J21" s="188">
        <v>331.71600000000001</v>
      </c>
      <c r="K21" s="188">
        <v>338.48500000000001</v>
      </c>
      <c r="L21" s="188">
        <v>330.97500000000002</v>
      </c>
      <c r="M21" s="188">
        <v>321.33499999999998</v>
      </c>
      <c r="N21" s="121"/>
      <c r="O21" s="121"/>
    </row>
    <row r="22" spans="2:15">
      <c r="B22" s="1022" t="s">
        <v>2056</v>
      </c>
      <c r="C22" s="1061"/>
    </row>
    <row r="24" spans="2:15" ht="15.6">
      <c r="B24" s="83" t="s">
        <v>56</v>
      </c>
      <c r="C24" s="1048"/>
    </row>
    <row r="25" spans="2:15">
      <c r="B25" s="1222" t="s">
        <v>1789</v>
      </c>
      <c r="C25" s="1223"/>
      <c r="D25" s="148"/>
      <c r="E25" s="148"/>
      <c r="F25" s="148"/>
      <c r="G25" s="148"/>
      <c r="H25" s="148"/>
      <c r="I25" s="148"/>
    </row>
    <row r="26" spans="2:15">
      <c r="B26" s="1224"/>
      <c r="C26" s="1224">
        <v>2023</v>
      </c>
      <c r="D26" s="1224">
        <v>2022</v>
      </c>
      <c r="E26" s="1224">
        <v>2021</v>
      </c>
      <c r="F26" s="1224">
        <v>2020</v>
      </c>
      <c r="G26" s="1224">
        <v>2019</v>
      </c>
      <c r="H26" s="1224">
        <v>2018</v>
      </c>
      <c r="I26" s="1224">
        <v>2017</v>
      </c>
    </row>
    <row r="27" spans="2:15" ht="15" thickBot="1">
      <c r="B27" s="1225" t="s">
        <v>399</v>
      </c>
      <c r="C27" s="1240">
        <v>31177</v>
      </c>
      <c r="D27" s="1406">
        <v>30901</v>
      </c>
      <c r="E27" s="1226">
        <v>30284</v>
      </c>
      <c r="F27" s="1226">
        <v>34986</v>
      </c>
      <c r="G27" s="1227">
        <v>45914</v>
      </c>
      <c r="H27" s="1227">
        <v>45058</v>
      </c>
      <c r="I27" s="1227">
        <v>44261</v>
      </c>
    </row>
    <row r="28" spans="2:15" ht="15" thickBot="1">
      <c r="B28" s="1228" t="s">
        <v>1787</v>
      </c>
      <c r="C28" s="1241">
        <v>99566</v>
      </c>
      <c r="D28" s="1415">
        <v>98687</v>
      </c>
      <c r="E28" s="1229">
        <v>96716</v>
      </c>
      <c r="F28" s="1229">
        <v>111733</v>
      </c>
      <c r="G28" s="1230">
        <v>146631</v>
      </c>
      <c r="H28" s="1230">
        <v>143897</v>
      </c>
      <c r="I28" s="1230">
        <v>141353</v>
      </c>
    </row>
    <row r="29" spans="2:15" ht="15" thickBot="1">
      <c r="B29" s="1228" t="s">
        <v>171</v>
      </c>
      <c r="C29" s="1241">
        <v>29646</v>
      </c>
      <c r="D29" s="1415">
        <v>29384</v>
      </c>
      <c r="E29" s="1231">
        <v>28798</v>
      </c>
      <c r="F29" s="1231">
        <v>33269</v>
      </c>
      <c r="G29" s="1230">
        <v>43660</v>
      </c>
      <c r="H29" s="1230">
        <v>42846</v>
      </c>
      <c r="I29" s="1230">
        <v>42088</v>
      </c>
    </row>
    <row r="30" spans="2:15">
      <c r="B30" s="1232" t="s">
        <v>1788</v>
      </c>
      <c r="C30" s="1243">
        <v>23904</v>
      </c>
      <c r="D30" s="1416">
        <v>23694</v>
      </c>
      <c r="E30" s="1233">
        <v>23220</v>
      </c>
      <c r="F30" s="714">
        <v>26826</v>
      </c>
      <c r="G30" s="1234">
        <v>35204</v>
      </c>
      <c r="H30" s="1234">
        <v>34548</v>
      </c>
      <c r="I30" s="1234">
        <v>33937</v>
      </c>
    </row>
    <row r="31" spans="2:15">
      <c r="B31" s="1057"/>
      <c r="C31" s="1063"/>
      <c r="D31" s="1057"/>
      <c r="E31" s="1057"/>
      <c r="F31" s="1057"/>
      <c r="G31" s="1057"/>
      <c r="H31" s="1057"/>
    </row>
    <row r="32" spans="2:15" ht="15.6">
      <c r="B32" s="1237" t="s">
        <v>56</v>
      </c>
      <c r="C32" s="1235"/>
      <c r="D32" s="148"/>
      <c r="E32" s="148"/>
      <c r="F32" s="148"/>
      <c r="G32" s="148"/>
      <c r="H32" s="148"/>
    </row>
    <row r="33" spans="2:9">
      <c r="B33" s="1222" t="s">
        <v>2057</v>
      </c>
      <c r="C33" s="1223"/>
      <c r="D33" s="148"/>
      <c r="E33" s="148"/>
      <c r="F33" s="148"/>
      <c r="G33" s="148"/>
      <c r="H33" s="148"/>
    </row>
    <row r="34" spans="2:9">
      <c r="B34" s="1224"/>
      <c r="C34" s="1224">
        <v>2023</v>
      </c>
      <c r="D34" s="1224">
        <v>2022</v>
      </c>
      <c r="E34" s="1224">
        <v>2021</v>
      </c>
      <c r="F34" s="1224">
        <v>2020</v>
      </c>
      <c r="G34" s="1224">
        <v>2019</v>
      </c>
      <c r="H34" s="1224">
        <v>2018</v>
      </c>
      <c r="I34" s="1224">
        <v>2017</v>
      </c>
    </row>
    <row r="35" spans="2:9" ht="15" thickBot="1">
      <c r="B35" s="1225" t="s">
        <v>399</v>
      </c>
      <c r="C35" s="1240">
        <v>134924</v>
      </c>
      <c r="D35" s="1406">
        <v>133733</v>
      </c>
      <c r="E35" s="1226">
        <v>131062</v>
      </c>
      <c r="F35" s="1226">
        <v>151412</v>
      </c>
      <c r="G35" s="1227">
        <v>198703</v>
      </c>
      <c r="H35" s="1227">
        <v>194998</v>
      </c>
      <c r="I35" s="1227">
        <v>191550</v>
      </c>
    </row>
    <row r="36" spans="2:9" ht="15" thickBot="1">
      <c r="B36" s="1228" t="s">
        <v>1787</v>
      </c>
      <c r="C36" s="1241">
        <v>135871</v>
      </c>
      <c r="D36" s="1415">
        <v>134672</v>
      </c>
      <c r="E36" s="1229">
        <v>131983</v>
      </c>
      <c r="F36" s="1229">
        <v>152475</v>
      </c>
      <c r="G36" s="1230">
        <v>200099</v>
      </c>
      <c r="H36" s="1230">
        <v>196368</v>
      </c>
      <c r="I36" s="1230">
        <v>192896</v>
      </c>
    </row>
    <row r="37" spans="2:9" ht="15" thickBot="1">
      <c r="B37" s="1228" t="s">
        <v>171</v>
      </c>
      <c r="C37" s="1241">
        <v>79628</v>
      </c>
      <c r="D37" s="1415">
        <v>78925</v>
      </c>
      <c r="E37" s="1229">
        <v>77349</v>
      </c>
      <c r="F37" s="1229">
        <v>89359</v>
      </c>
      <c r="G37" s="1230">
        <v>117268</v>
      </c>
      <c r="H37" s="1230">
        <v>115082</v>
      </c>
      <c r="I37" s="1230">
        <v>113047</v>
      </c>
    </row>
    <row r="38" spans="2:9" ht="15" thickBot="1">
      <c r="B38" s="1238" t="s">
        <v>1788</v>
      </c>
      <c r="C38" s="1242">
        <v>8165</v>
      </c>
      <c r="D38" s="1417">
        <v>8094</v>
      </c>
      <c r="E38" s="1229">
        <v>7932</v>
      </c>
      <c r="F38" s="1229">
        <v>9164</v>
      </c>
      <c r="G38" s="1230">
        <v>12026</v>
      </c>
      <c r="H38" s="1230">
        <v>11802</v>
      </c>
      <c r="I38" s="1230">
        <v>11593</v>
      </c>
    </row>
    <row r="39" spans="2:9">
      <c r="B39" s="1057"/>
      <c r="C39" s="1063"/>
      <c r="D39" s="1057"/>
      <c r="E39" s="1057"/>
      <c r="F39" s="1057"/>
      <c r="G39" s="1057"/>
      <c r="H39" s="1057"/>
    </row>
    <row r="40" spans="2:9" ht="15.6">
      <c r="B40" s="1237" t="s">
        <v>56</v>
      </c>
      <c r="C40" s="1235"/>
      <c r="D40" s="148"/>
      <c r="E40" s="148"/>
      <c r="F40" s="148"/>
      <c r="G40" s="148"/>
      <c r="H40" s="148"/>
    </row>
    <row r="41" spans="2:9">
      <c r="B41" s="1222" t="s">
        <v>1790</v>
      </c>
      <c r="C41" s="1223"/>
      <c r="D41" s="148"/>
      <c r="E41" s="148"/>
      <c r="F41" s="148"/>
      <c r="G41" s="148"/>
      <c r="H41" s="148"/>
    </row>
    <row r="42" spans="2:9">
      <c r="B42" s="1224"/>
      <c r="C42" s="1224">
        <v>2023</v>
      </c>
      <c r="D42" s="1224">
        <v>2022</v>
      </c>
      <c r="E42" s="1224">
        <v>2021</v>
      </c>
      <c r="F42" s="1224">
        <v>2020</v>
      </c>
      <c r="G42" s="1224">
        <v>2019</v>
      </c>
      <c r="H42" s="1224">
        <v>2018</v>
      </c>
      <c r="I42" s="1224">
        <v>2017</v>
      </c>
    </row>
    <row r="43" spans="2:9" ht="15" thickBot="1">
      <c r="B43" s="1225" t="s">
        <v>399</v>
      </c>
      <c r="C43" s="1240">
        <v>67462</v>
      </c>
      <c r="D43" s="1406">
        <v>66866</v>
      </c>
      <c r="E43" s="1226">
        <v>65531</v>
      </c>
      <c r="F43" s="1226">
        <v>75706</v>
      </c>
      <c r="G43" s="1227">
        <v>99352</v>
      </c>
      <c r="H43" s="1227">
        <v>97499</v>
      </c>
      <c r="I43" s="1227">
        <v>95775</v>
      </c>
    </row>
    <row r="44" spans="2:9" ht="15" thickBot="1">
      <c r="B44" s="1228" t="s">
        <v>1787</v>
      </c>
      <c r="C44" s="1241">
        <v>69295</v>
      </c>
      <c r="D44" s="1415">
        <v>68683</v>
      </c>
      <c r="E44" s="1229">
        <v>67311</v>
      </c>
      <c r="F44" s="1229">
        <v>77762</v>
      </c>
      <c r="G44" s="1230">
        <v>102050</v>
      </c>
      <c r="H44" s="1230">
        <v>100148</v>
      </c>
      <c r="I44" s="1230">
        <v>98377</v>
      </c>
    </row>
    <row r="45" spans="2:9" ht="15" thickBot="1">
      <c r="B45" s="1228" t="s">
        <v>171</v>
      </c>
      <c r="C45" s="1241">
        <v>69285</v>
      </c>
      <c r="D45" s="1415">
        <v>69454</v>
      </c>
      <c r="E45" s="1229">
        <v>68067</v>
      </c>
      <c r="F45" s="1229">
        <v>78636</v>
      </c>
      <c r="G45" s="1230">
        <v>103196</v>
      </c>
      <c r="H45" s="1230">
        <v>101272</v>
      </c>
      <c r="I45" s="1230">
        <v>99481</v>
      </c>
    </row>
    <row r="46" spans="2:9" ht="15" thickBot="1">
      <c r="B46" s="1238" t="s">
        <v>1788</v>
      </c>
      <c r="C46" s="1242">
        <v>31030</v>
      </c>
      <c r="D46" s="1417">
        <v>30756</v>
      </c>
      <c r="E46" s="1229">
        <v>30142</v>
      </c>
      <c r="F46" s="1229">
        <v>34822</v>
      </c>
      <c r="G46" s="1230">
        <v>45698</v>
      </c>
      <c r="H46" s="1230">
        <v>44846</v>
      </c>
      <c r="I46" s="1230">
        <v>44053</v>
      </c>
    </row>
    <row r="47" spans="2:9">
      <c r="B47" s="41" t="s">
        <v>2056</v>
      </c>
      <c r="C47" s="1236"/>
      <c r="D47" s="148"/>
      <c r="E47" s="148"/>
      <c r="F47" s="148"/>
      <c r="G47" s="148"/>
      <c r="H47" s="148"/>
    </row>
  </sheetData>
  <hyperlinks>
    <hyperlink ref="B12" r:id="rId1" display="Source: Perangkaan Agromakanan, Ministry of agriculture and food industry, Malaysia, 2023" xr:uid="{00000000-0004-0000-1B00-000000000000}"/>
    <hyperlink ref="B22" r:id="rId2" display="Source: Perangkaan Agromakanan, Ministry of agriculture and food industry, Malaysia, 2024" xr:uid="{00000000-0004-0000-1B00-000001000000}"/>
    <hyperlink ref="B47" r:id="rId3" display="Source: Perangkaan Agromakanan, Ministry of agriculture and food industry, Malaysia, 2024" xr:uid="{8CBC5D1A-626A-4064-B696-58F15F3E0693}"/>
  </hyperlinks>
  <pageMargins left="0.7" right="0.7" top="0.78740157499999996" bottom="0.78740157499999996" header="0.3" footer="0.3"/>
  <pageSetup paperSize="9" orientation="portrait" verticalDpi="300" r:id="rId4"/>
  <legacyDrawing r:id="rId5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B050"/>
  </sheetPr>
  <dimension ref="B2:Q59"/>
  <sheetViews>
    <sheetView showGridLines="0" topLeftCell="A27" zoomScale="98" zoomScaleNormal="98" workbookViewId="0">
      <selection activeCell="B32" sqref="B32:E32"/>
    </sheetView>
  </sheetViews>
  <sheetFormatPr defaultColWidth="11.44140625" defaultRowHeight="14.4"/>
  <cols>
    <col min="1" max="1" width="3.6640625" customWidth="1"/>
    <col min="2" max="2" width="25.33203125" customWidth="1"/>
    <col min="3" max="13" width="8.6640625" customWidth="1"/>
  </cols>
  <sheetData>
    <row r="2" spans="2:17" ht="15" customHeight="1">
      <c r="B2" s="83" t="s">
        <v>226</v>
      </c>
    </row>
    <row r="3" spans="2:17" ht="15" customHeight="1">
      <c r="B3" s="83"/>
    </row>
    <row r="4" spans="2:17" ht="15" customHeight="1">
      <c r="B4" s="83" t="s">
        <v>134</v>
      </c>
    </row>
    <row r="5" spans="2:17" ht="15" customHeight="1">
      <c r="B5" s="93" t="s">
        <v>46</v>
      </c>
    </row>
    <row r="6" spans="2:17" ht="15" customHeight="1">
      <c r="B6" s="115"/>
      <c r="C6" s="115" t="s">
        <v>2064</v>
      </c>
      <c r="D6" s="115">
        <v>2023</v>
      </c>
      <c r="E6" s="115">
        <v>2022</v>
      </c>
      <c r="F6" s="115">
        <v>2021</v>
      </c>
      <c r="G6" s="115">
        <v>2020</v>
      </c>
      <c r="H6" s="115">
        <v>2019</v>
      </c>
      <c r="I6" s="115">
        <v>2018</v>
      </c>
      <c r="J6" s="115">
        <v>2017</v>
      </c>
      <c r="K6" s="115">
        <v>2016</v>
      </c>
      <c r="L6" s="115">
        <v>2015</v>
      </c>
      <c r="M6" s="115">
        <v>2014</v>
      </c>
      <c r="N6" s="94"/>
      <c r="O6" s="94"/>
    </row>
    <row r="7" spans="2:17" ht="15" customHeight="1" thickBot="1">
      <c r="B7" s="49" t="s">
        <v>331</v>
      </c>
      <c r="C7" s="2"/>
      <c r="D7" s="49"/>
      <c r="E7" s="984"/>
      <c r="F7" s="984"/>
      <c r="G7" s="984"/>
      <c r="H7" s="59"/>
      <c r="I7" s="59"/>
      <c r="J7" s="59"/>
      <c r="K7" s="59"/>
      <c r="L7" s="59"/>
      <c r="M7" s="59"/>
      <c r="N7" s="102"/>
      <c r="O7" s="102"/>
    </row>
    <row r="8" spans="2:17" ht="15" customHeight="1" thickBot="1">
      <c r="B8" s="84" t="s">
        <v>113</v>
      </c>
      <c r="C8" s="1143">
        <v>1168</v>
      </c>
      <c r="D8" s="1140">
        <v>1134</v>
      </c>
      <c r="E8" s="213">
        <v>1178</v>
      </c>
      <c r="F8" s="213">
        <v>1176</v>
      </c>
      <c r="G8" s="213">
        <v>1173</v>
      </c>
      <c r="H8" s="213">
        <v>1028</v>
      </c>
      <c r="I8" s="46">
        <v>1132</v>
      </c>
      <c r="J8" s="46">
        <v>1127</v>
      </c>
      <c r="K8" s="46">
        <v>1121</v>
      </c>
      <c r="L8" s="46">
        <v>769</v>
      </c>
      <c r="M8" s="46">
        <v>794</v>
      </c>
      <c r="N8" s="121"/>
      <c r="O8" s="121"/>
    </row>
    <row r="9" spans="2:17" ht="15" customHeight="1" thickBot="1">
      <c r="B9" s="84" t="s">
        <v>114</v>
      </c>
      <c r="C9" s="1143">
        <v>248</v>
      </c>
      <c r="D9" s="1140">
        <v>248</v>
      </c>
      <c r="E9" s="46">
        <v>181</v>
      </c>
      <c r="F9" s="46">
        <v>246</v>
      </c>
      <c r="G9" s="46">
        <v>175</v>
      </c>
      <c r="H9" s="46">
        <v>174</v>
      </c>
      <c r="I9" s="46">
        <v>143</v>
      </c>
      <c r="J9" s="46">
        <v>281</v>
      </c>
      <c r="K9" s="46">
        <v>251</v>
      </c>
      <c r="L9" s="46">
        <v>198</v>
      </c>
      <c r="M9" s="46">
        <v>195</v>
      </c>
      <c r="N9" s="121"/>
      <c r="O9" s="121"/>
      <c r="Q9" s="5"/>
    </row>
    <row r="10" spans="2:17" ht="15" customHeight="1" thickBot="1">
      <c r="B10" s="84" t="s">
        <v>116</v>
      </c>
      <c r="C10" s="1143">
        <v>114</v>
      </c>
      <c r="D10" s="1140">
        <v>114</v>
      </c>
      <c r="E10" s="46">
        <v>114</v>
      </c>
      <c r="F10" s="46">
        <v>114</v>
      </c>
      <c r="G10" s="46">
        <v>114</v>
      </c>
      <c r="H10" s="46">
        <v>116</v>
      </c>
      <c r="I10" s="46">
        <v>110</v>
      </c>
      <c r="J10" s="46">
        <v>102</v>
      </c>
      <c r="K10" s="46">
        <v>96</v>
      </c>
      <c r="L10" s="46">
        <v>88</v>
      </c>
      <c r="M10" s="46">
        <v>91</v>
      </c>
      <c r="N10" s="121"/>
      <c r="O10" s="121"/>
    </row>
    <row r="11" spans="2:17" ht="15" customHeight="1" thickBot="1">
      <c r="B11" s="84" t="s">
        <v>117</v>
      </c>
      <c r="C11" s="1145">
        <v>32</v>
      </c>
      <c r="D11" s="1168" t="s">
        <v>59</v>
      </c>
      <c r="E11" s="46" t="s">
        <v>59</v>
      </c>
      <c r="F11" s="46" t="s">
        <v>59</v>
      </c>
      <c r="G11" s="46" t="s">
        <v>59</v>
      </c>
      <c r="H11" s="46">
        <v>20</v>
      </c>
      <c r="I11" s="46">
        <v>20</v>
      </c>
      <c r="J11" s="46">
        <v>19</v>
      </c>
      <c r="K11" s="46">
        <v>19</v>
      </c>
      <c r="L11" s="46">
        <v>4</v>
      </c>
      <c r="M11" s="46">
        <v>7</v>
      </c>
      <c r="N11" s="121"/>
      <c r="O11" s="121"/>
    </row>
    <row r="12" spans="2:17" ht="15" customHeight="1" thickBot="1">
      <c r="B12" s="84" t="s">
        <v>188</v>
      </c>
      <c r="C12" s="1145">
        <v>38</v>
      </c>
      <c r="D12" s="1168" t="s">
        <v>59</v>
      </c>
      <c r="E12" s="46" t="s">
        <v>59</v>
      </c>
      <c r="F12" s="46" t="s">
        <v>59</v>
      </c>
      <c r="G12" s="46" t="s">
        <v>59</v>
      </c>
      <c r="H12" s="46">
        <v>2</v>
      </c>
      <c r="I12" s="46">
        <v>13</v>
      </c>
      <c r="J12" s="46">
        <v>15</v>
      </c>
      <c r="K12" s="46">
        <v>14</v>
      </c>
      <c r="L12" s="46">
        <v>11</v>
      </c>
      <c r="M12" s="46">
        <v>11</v>
      </c>
      <c r="N12" s="121"/>
      <c r="O12" s="121"/>
      <c r="Q12" s="5"/>
    </row>
    <row r="13" spans="2:17" ht="15" customHeight="1" thickBot="1">
      <c r="B13" s="84" t="s">
        <v>115</v>
      </c>
      <c r="C13" s="1143">
        <v>114</v>
      </c>
      <c r="D13" s="1140">
        <v>115</v>
      </c>
      <c r="E13" s="46">
        <v>142</v>
      </c>
      <c r="F13" s="46">
        <v>148</v>
      </c>
      <c r="G13" s="46">
        <v>140</v>
      </c>
      <c r="H13" s="46">
        <v>127</v>
      </c>
      <c r="I13" s="46">
        <v>113</v>
      </c>
      <c r="J13" s="46">
        <v>115</v>
      </c>
      <c r="K13" s="46">
        <v>113</v>
      </c>
      <c r="L13" s="46">
        <v>122</v>
      </c>
      <c r="M13" s="46">
        <v>121</v>
      </c>
      <c r="N13" s="121"/>
      <c r="O13" s="121"/>
    </row>
    <row r="14" spans="2:17" ht="15" customHeight="1" thickBot="1">
      <c r="B14" s="49" t="s">
        <v>330</v>
      </c>
      <c r="C14" s="1144"/>
      <c r="D14" s="1207"/>
      <c r="E14" s="46"/>
      <c r="F14" s="46"/>
      <c r="G14" s="46"/>
      <c r="H14" s="46"/>
      <c r="I14" s="46"/>
      <c r="J14" s="46"/>
      <c r="K14" s="46"/>
      <c r="L14" s="46"/>
      <c r="M14" s="46"/>
      <c r="N14" s="121"/>
      <c r="O14" s="121"/>
    </row>
    <row r="15" spans="2:17" ht="15" customHeight="1" thickBot="1">
      <c r="B15" s="84" t="s">
        <v>118</v>
      </c>
      <c r="C15" s="1143">
        <v>4434</v>
      </c>
      <c r="D15" s="1140">
        <v>4580</v>
      </c>
      <c r="E15" s="46">
        <v>4517</v>
      </c>
      <c r="F15" s="46">
        <v>4156</v>
      </c>
      <c r="G15" s="46">
        <v>4558</v>
      </c>
      <c r="H15" s="46">
        <v>4638</v>
      </c>
      <c r="I15" s="46">
        <v>4668</v>
      </c>
      <c r="J15" s="46">
        <v>4606</v>
      </c>
      <c r="K15" s="46">
        <v>4580</v>
      </c>
      <c r="L15" s="46">
        <v>3983</v>
      </c>
      <c r="M15" s="46">
        <v>3927</v>
      </c>
      <c r="N15" s="121"/>
      <c r="O15" s="121"/>
    </row>
    <row r="16" spans="2:17" ht="15" customHeight="1" thickBot="1">
      <c r="B16" s="84" t="s">
        <v>115</v>
      </c>
      <c r="C16" s="1143">
        <v>2787</v>
      </c>
      <c r="D16" s="1140">
        <v>2682</v>
      </c>
      <c r="E16" s="46">
        <v>2665</v>
      </c>
      <c r="F16" s="46">
        <v>2629</v>
      </c>
      <c r="G16" s="46">
        <v>3063</v>
      </c>
      <c r="H16" s="46">
        <v>2552</v>
      </c>
      <c r="I16" s="46">
        <v>2569</v>
      </c>
      <c r="J16" s="46">
        <v>2650</v>
      </c>
      <c r="K16" s="46">
        <v>2656</v>
      </c>
      <c r="L16" s="46">
        <v>2343</v>
      </c>
      <c r="M16" s="46">
        <v>2492</v>
      </c>
      <c r="N16" s="121"/>
      <c r="O16" s="121"/>
    </row>
    <row r="17" spans="2:17" ht="15" customHeight="1" thickBot="1">
      <c r="B17" s="84" t="s">
        <v>139</v>
      </c>
      <c r="C17" s="1145" t="s">
        <v>59</v>
      </c>
      <c r="D17" s="1168" t="s">
        <v>59</v>
      </c>
      <c r="E17" s="46" t="s">
        <v>59</v>
      </c>
      <c r="F17" s="46" t="s">
        <v>59</v>
      </c>
      <c r="G17" s="46" t="s">
        <v>59</v>
      </c>
      <c r="H17" s="46">
        <v>792</v>
      </c>
      <c r="I17" s="46">
        <v>610</v>
      </c>
      <c r="J17" s="46">
        <v>655</v>
      </c>
      <c r="K17" s="46">
        <v>605</v>
      </c>
      <c r="L17" s="46">
        <v>604</v>
      </c>
      <c r="M17" s="46">
        <v>559</v>
      </c>
      <c r="N17" s="121"/>
      <c r="O17" s="121"/>
    </row>
    <row r="18" spans="2:17" ht="15" customHeight="1" thickBot="1">
      <c r="B18" s="84" t="s">
        <v>113</v>
      </c>
      <c r="C18" s="1143">
        <v>560</v>
      </c>
      <c r="D18" s="1140">
        <v>528</v>
      </c>
      <c r="E18" s="46">
        <v>585</v>
      </c>
      <c r="F18" s="46">
        <v>575</v>
      </c>
      <c r="G18" s="46">
        <v>569</v>
      </c>
      <c r="H18" s="46">
        <v>729</v>
      </c>
      <c r="I18" s="46">
        <v>550</v>
      </c>
      <c r="J18" s="46">
        <v>619</v>
      </c>
      <c r="K18" s="46">
        <v>610</v>
      </c>
      <c r="L18" s="46">
        <v>616</v>
      </c>
      <c r="M18" s="46">
        <v>635</v>
      </c>
      <c r="N18" s="121"/>
      <c r="O18" s="121"/>
    </row>
    <row r="19" spans="2:17" ht="15" customHeight="1" thickBot="1">
      <c r="B19" s="84" t="s">
        <v>117</v>
      </c>
      <c r="C19" s="89" t="s">
        <v>59</v>
      </c>
      <c r="D19" s="59" t="s">
        <v>59</v>
      </c>
      <c r="E19" s="59" t="s">
        <v>59</v>
      </c>
      <c r="F19" s="46" t="s">
        <v>59</v>
      </c>
      <c r="G19" s="46" t="s">
        <v>59</v>
      </c>
      <c r="H19" s="46">
        <v>605</v>
      </c>
      <c r="I19" s="46">
        <v>620</v>
      </c>
      <c r="J19" s="46">
        <v>547</v>
      </c>
      <c r="K19" s="46">
        <v>447</v>
      </c>
      <c r="L19" s="46">
        <v>451</v>
      </c>
      <c r="M19" s="46">
        <v>454</v>
      </c>
      <c r="N19" s="121"/>
      <c r="O19" s="121"/>
    </row>
    <row r="20" spans="2:17" ht="15" customHeight="1" thickBot="1">
      <c r="B20" s="84" t="s">
        <v>361</v>
      </c>
      <c r="C20" s="89" t="s">
        <v>59</v>
      </c>
      <c r="D20" s="59" t="s">
        <v>59</v>
      </c>
      <c r="E20" s="95"/>
      <c r="F20" s="46" t="s">
        <v>59</v>
      </c>
      <c r="G20" s="46" t="s">
        <v>59</v>
      </c>
      <c r="H20" s="46">
        <v>652</v>
      </c>
      <c r="I20" s="46">
        <v>757</v>
      </c>
      <c r="J20" s="46">
        <v>708</v>
      </c>
      <c r="K20" s="46">
        <v>728</v>
      </c>
      <c r="L20" s="46">
        <v>363</v>
      </c>
      <c r="M20" s="46">
        <v>298</v>
      </c>
      <c r="N20" s="121"/>
      <c r="O20" s="121"/>
    </row>
    <row r="21" spans="2:17" ht="15" customHeight="1" thickBot="1">
      <c r="B21" s="84" t="s">
        <v>227</v>
      </c>
      <c r="C21" s="89" t="s">
        <v>59</v>
      </c>
      <c r="D21" s="59" t="s">
        <v>59</v>
      </c>
      <c r="E21" s="95"/>
      <c r="F21" s="46" t="s">
        <v>59</v>
      </c>
      <c r="G21" s="46" t="s">
        <v>59</v>
      </c>
      <c r="H21" s="46">
        <v>346</v>
      </c>
      <c r="I21" s="46">
        <v>366</v>
      </c>
      <c r="J21" s="46">
        <v>351</v>
      </c>
      <c r="K21" s="46">
        <v>369</v>
      </c>
      <c r="L21" s="46">
        <v>369</v>
      </c>
      <c r="M21" s="46">
        <v>282</v>
      </c>
      <c r="N21" s="121"/>
      <c r="O21" s="121"/>
      <c r="Q21" s="102"/>
    </row>
    <row r="22" spans="2:17" ht="15" customHeight="1" thickBot="1">
      <c r="B22" s="84" t="s">
        <v>128</v>
      </c>
      <c r="C22" s="89" t="s">
        <v>59</v>
      </c>
      <c r="D22" s="59" t="s">
        <v>59</v>
      </c>
      <c r="E22" s="46" t="s">
        <v>59</v>
      </c>
      <c r="F22" s="46" t="s">
        <v>59</v>
      </c>
      <c r="G22" s="46" t="s">
        <v>59</v>
      </c>
      <c r="H22" s="46">
        <v>202</v>
      </c>
      <c r="I22" s="46">
        <v>232</v>
      </c>
      <c r="J22" s="46">
        <v>231</v>
      </c>
      <c r="K22" s="46">
        <v>205</v>
      </c>
      <c r="L22" s="46">
        <v>201</v>
      </c>
      <c r="M22" s="46">
        <v>225</v>
      </c>
      <c r="N22" s="121"/>
      <c r="O22" s="121"/>
    </row>
    <row r="23" spans="2:17" ht="15" customHeight="1" thickBot="1">
      <c r="B23" s="84" t="s">
        <v>228</v>
      </c>
      <c r="C23" s="89" t="s">
        <v>59</v>
      </c>
      <c r="D23" s="59" t="s">
        <v>59</v>
      </c>
      <c r="E23" s="46" t="s">
        <v>59</v>
      </c>
      <c r="F23" s="46" t="s">
        <v>59</v>
      </c>
      <c r="G23" s="46" t="s">
        <v>59</v>
      </c>
      <c r="H23" s="46">
        <v>362</v>
      </c>
      <c r="I23" s="46">
        <v>326</v>
      </c>
      <c r="J23" s="46">
        <v>348</v>
      </c>
      <c r="K23" s="46">
        <v>384</v>
      </c>
      <c r="L23" s="46">
        <v>141</v>
      </c>
      <c r="M23" s="46">
        <v>148</v>
      </c>
      <c r="N23" s="121"/>
      <c r="O23" s="121"/>
    </row>
    <row r="24" spans="2:17" ht="15" customHeight="1" thickBot="1">
      <c r="B24" s="84" t="s">
        <v>220</v>
      </c>
      <c r="C24" s="89">
        <v>25</v>
      </c>
      <c r="D24" s="59" t="s">
        <v>59</v>
      </c>
      <c r="E24" s="46"/>
      <c r="F24" s="46" t="s">
        <v>59</v>
      </c>
      <c r="G24" s="46" t="s">
        <v>59</v>
      </c>
      <c r="H24" s="46">
        <v>119</v>
      </c>
      <c r="I24" s="46">
        <v>36</v>
      </c>
      <c r="J24" s="46">
        <v>127</v>
      </c>
      <c r="K24" s="46">
        <v>125</v>
      </c>
      <c r="L24" s="46">
        <v>115</v>
      </c>
      <c r="M24" s="46">
        <v>113</v>
      </c>
      <c r="N24" s="121"/>
      <c r="O24" s="121"/>
    </row>
    <row r="25" spans="2:17" ht="15" customHeight="1" thickBot="1">
      <c r="B25" s="84" t="s">
        <v>229</v>
      </c>
      <c r="C25" s="89" t="s">
        <v>59</v>
      </c>
      <c r="D25" s="59" t="s">
        <v>59</v>
      </c>
      <c r="E25" s="46" t="s">
        <v>59</v>
      </c>
      <c r="F25" s="46" t="s">
        <v>59</v>
      </c>
      <c r="G25" s="46" t="s">
        <v>59</v>
      </c>
      <c r="H25" s="46">
        <v>100</v>
      </c>
      <c r="I25" s="46">
        <v>90</v>
      </c>
      <c r="J25" s="46">
        <v>159</v>
      </c>
      <c r="K25" s="46">
        <v>450</v>
      </c>
      <c r="L25" s="46">
        <v>96</v>
      </c>
      <c r="M25" s="46">
        <v>101</v>
      </c>
      <c r="N25" s="121"/>
      <c r="O25" s="121"/>
    </row>
    <row r="26" spans="2:17" ht="15" customHeight="1" thickBot="1">
      <c r="B26" s="84" t="s">
        <v>231</v>
      </c>
      <c r="C26" s="89">
        <v>75</v>
      </c>
      <c r="D26" s="59" t="s">
        <v>59</v>
      </c>
      <c r="E26" s="46"/>
      <c r="F26" s="46" t="s">
        <v>59</v>
      </c>
      <c r="G26" s="46" t="s">
        <v>59</v>
      </c>
      <c r="H26" s="46">
        <v>77</v>
      </c>
      <c r="I26" s="46">
        <v>75</v>
      </c>
      <c r="J26" s="46">
        <v>70</v>
      </c>
      <c r="K26" s="46">
        <v>69</v>
      </c>
      <c r="L26" s="46">
        <v>64</v>
      </c>
      <c r="M26" s="46">
        <v>67</v>
      </c>
      <c r="N26" s="121"/>
      <c r="O26" s="121"/>
    </row>
    <row r="27" spans="2:17" ht="15" customHeight="1" thickBot="1">
      <c r="B27" s="84" t="s">
        <v>232</v>
      </c>
      <c r="C27" s="89">
        <v>59</v>
      </c>
      <c r="D27" s="59"/>
      <c r="E27" s="46" t="s">
        <v>59</v>
      </c>
      <c r="F27" s="46" t="s">
        <v>59</v>
      </c>
      <c r="G27" s="46" t="s">
        <v>59</v>
      </c>
      <c r="H27" s="46">
        <v>61</v>
      </c>
      <c r="I27" s="46">
        <v>59</v>
      </c>
      <c r="J27" s="46">
        <v>59</v>
      </c>
      <c r="K27" s="46">
        <v>59</v>
      </c>
      <c r="L27" s="46">
        <v>59</v>
      </c>
      <c r="M27" s="46">
        <v>64</v>
      </c>
      <c r="N27" s="121"/>
      <c r="O27" s="121"/>
    </row>
    <row r="28" spans="2:17" ht="15" customHeight="1" thickBot="1">
      <c r="B28" s="84" t="s">
        <v>233</v>
      </c>
      <c r="C28" s="89" t="s">
        <v>59</v>
      </c>
      <c r="D28" s="59" t="s">
        <v>59</v>
      </c>
      <c r="E28" s="46"/>
      <c r="F28" s="46" t="s">
        <v>59</v>
      </c>
      <c r="G28" s="46" t="s">
        <v>59</v>
      </c>
      <c r="H28" s="46">
        <v>218</v>
      </c>
      <c r="I28" s="46">
        <v>274</v>
      </c>
      <c r="J28" s="46">
        <v>254</v>
      </c>
      <c r="K28" s="46">
        <v>180</v>
      </c>
      <c r="L28" s="46">
        <v>175</v>
      </c>
      <c r="M28" s="46">
        <v>97</v>
      </c>
      <c r="N28" s="121"/>
      <c r="O28" s="121"/>
    </row>
    <row r="29" spans="2:17" ht="15" customHeight="1" thickBot="1">
      <c r="B29" s="49" t="s">
        <v>119</v>
      </c>
      <c r="C29" s="942"/>
      <c r="D29" s="61"/>
      <c r="E29" s="186"/>
      <c r="F29" s="186"/>
      <c r="G29" s="186"/>
      <c r="H29" s="186"/>
      <c r="I29" s="46"/>
      <c r="J29" s="46"/>
      <c r="K29" s="46"/>
      <c r="L29" s="46"/>
      <c r="M29" s="46"/>
      <c r="N29" s="121"/>
      <c r="O29" s="207"/>
    </row>
    <row r="30" spans="2:17" ht="15" customHeight="1" thickBot="1">
      <c r="B30" s="84" t="s">
        <v>234</v>
      </c>
      <c r="C30" s="89" t="s">
        <v>59</v>
      </c>
      <c r="D30" s="59" t="s">
        <v>59</v>
      </c>
      <c r="E30" s="46" t="s">
        <v>59</v>
      </c>
      <c r="F30" s="46" t="s">
        <v>59</v>
      </c>
      <c r="G30" s="46" t="s">
        <v>59</v>
      </c>
      <c r="H30" s="46">
        <v>1577</v>
      </c>
      <c r="I30" s="46">
        <v>1591</v>
      </c>
      <c r="J30" s="46">
        <v>1592</v>
      </c>
      <c r="K30" s="46">
        <v>1607</v>
      </c>
      <c r="L30" s="46">
        <v>1620</v>
      </c>
      <c r="M30" s="46">
        <v>1533</v>
      </c>
      <c r="N30" s="121"/>
      <c r="O30" s="121"/>
    </row>
    <row r="31" spans="2:17" ht="15" customHeight="1" thickBot="1">
      <c r="B31" s="84" t="s">
        <v>235</v>
      </c>
      <c r="C31" s="89">
        <v>67</v>
      </c>
      <c r="D31" s="59" t="s">
        <v>59</v>
      </c>
      <c r="E31" s="46" t="s">
        <v>59</v>
      </c>
      <c r="F31" s="46" t="s">
        <v>59</v>
      </c>
      <c r="G31" s="46" t="s">
        <v>59</v>
      </c>
      <c r="H31" s="46">
        <v>80</v>
      </c>
      <c r="I31" s="46">
        <v>49</v>
      </c>
      <c r="J31" s="46">
        <v>51</v>
      </c>
      <c r="K31" s="46">
        <v>79</v>
      </c>
      <c r="L31" s="46">
        <v>52</v>
      </c>
      <c r="M31" s="46">
        <v>32</v>
      </c>
      <c r="N31" s="121"/>
      <c r="O31" s="121"/>
      <c r="P31" s="5"/>
    </row>
    <row r="32" spans="2:17" ht="15" customHeight="1">
      <c r="B32" s="1573" t="s">
        <v>2414</v>
      </c>
      <c r="C32" s="1573"/>
      <c r="D32" s="1573"/>
      <c r="E32" s="1573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5"/>
    </row>
    <row r="33" spans="2:15" ht="15" customHeight="1">
      <c r="B33" s="92"/>
      <c r="C33" s="16"/>
      <c r="D33" s="16"/>
      <c r="E33" s="16"/>
      <c r="F33" s="16"/>
      <c r="G33" s="16"/>
      <c r="H33" s="16"/>
      <c r="I33" s="16"/>
      <c r="J33" s="16"/>
      <c r="K33" s="139"/>
      <c r="L33" s="139"/>
      <c r="M33" s="139"/>
    </row>
    <row r="34" spans="2:15" ht="15" customHeight="1">
      <c r="B34" s="83" t="s">
        <v>236</v>
      </c>
    </row>
    <row r="35" spans="2:15" ht="15" customHeight="1">
      <c r="B35" s="14" t="s">
        <v>137</v>
      </c>
      <c r="O35" s="223" t="s">
        <v>2058</v>
      </c>
    </row>
    <row r="36" spans="2:15" ht="15" customHeight="1">
      <c r="B36" s="115"/>
      <c r="C36" s="115" t="s">
        <v>2064</v>
      </c>
      <c r="D36" s="115">
        <v>2023</v>
      </c>
      <c r="E36" s="115">
        <v>2022</v>
      </c>
      <c r="F36" s="115">
        <v>2021</v>
      </c>
      <c r="G36" s="115">
        <v>2020</v>
      </c>
      <c r="H36" s="115">
        <v>2019</v>
      </c>
      <c r="I36" s="115">
        <v>2018</v>
      </c>
      <c r="J36" s="115">
        <v>2017</v>
      </c>
      <c r="K36" s="115">
        <v>2016</v>
      </c>
      <c r="L36" s="115">
        <v>2015</v>
      </c>
      <c r="M36" s="115">
        <v>2014</v>
      </c>
      <c r="N36" s="94"/>
      <c r="O36" s="94"/>
    </row>
    <row r="37" spans="2:15" ht="15" customHeight="1" thickBot="1">
      <c r="B37" s="49" t="s">
        <v>237</v>
      </c>
      <c r="C37" s="942"/>
      <c r="D37" s="61"/>
      <c r="E37" s="157"/>
      <c r="F37" s="157"/>
      <c r="G37" s="157"/>
      <c r="H37" s="157"/>
      <c r="I37" s="157"/>
      <c r="J37" s="157"/>
      <c r="K37" s="157"/>
      <c r="L37" s="157"/>
      <c r="M37" s="157"/>
      <c r="N37" s="56"/>
      <c r="O37" s="56"/>
    </row>
    <row r="38" spans="2:15" ht="15" customHeight="1" thickBot="1">
      <c r="B38" s="84" t="s">
        <v>238</v>
      </c>
      <c r="C38" s="89" t="s">
        <v>59</v>
      </c>
      <c r="D38" s="59" t="s">
        <v>59</v>
      </c>
      <c r="E38" s="46" t="s">
        <v>59</v>
      </c>
      <c r="F38" s="46" t="s">
        <v>59</v>
      </c>
      <c r="G38" s="46" t="s">
        <v>59</v>
      </c>
      <c r="H38" s="46">
        <v>288</v>
      </c>
      <c r="I38" s="46">
        <v>275</v>
      </c>
      <c r="J38" s="46">
        <v>262</v>
      </c>
      <c r="K38" s="46">
        <v>268</v>
      </c>
      <c r="L38" s="46">
        <v>250</v>
      </c>
      <c r="M38" s="46">
        <v>225</v>
      </c>
      <c r="N38" s="121"/>
      <c r="O38" s="121"/>
    </row>
    <row r="39" spans="2:15" ht="15" customHeight="1" thickBot="1">
      <c r="B39" s="84" t="s">
        <v>239</v>
      </c>
      <c r="C39" s="1200" t="s">
        <v>59</v>
      </c>
      <c r="D39" s="95">
        <v>40</v>
      </c>
      <c r="E39" s="46" t="s">
        <v>59</v>
      </c>
      <c r="F39" s="46" t="s">
        <v>59</v>
      </c>
      <c r="G39" s="46" t="s">
        <v>59</v>
      </c>
      <c r="H39" s="46">
        <v>40</v>
      </c>
      <c r="I39" s="46">
        <v>47</v>
      </c>
      <c r="J39" s="46">
        <v>46</v>
      </c>
      <c r="K39" s="46">
        <v>44</v>
      </c>
      <c r="L39" s="46">
        <v>34</v>
      </c>
      <c r="M39" s="46">
        <v>29</v>
      </c>
      <c r="N39" s="121"/>
      <c r="O39" s="121"/>
    </row>
    <row r="40" spans="2:15" ht="15" customHeight="1" thickBot="1">
      <c r="B40" s="84" t="s">
        <v>240</v>
      </c>
      <c r="C40" s="89" t="s">
        <v>59</v>
      </c>
      <c r="D40" s="59" t="s">
        <v>59</v>
      </c>
      <c r="E40" s="46" t="s">
        <v>59</v>
      </c>
      <c r="F40" s="46" t="s">
        <v>59</v>
      </c>
      <c r="G40" s="46" t="s">
        <v>59</v>
      </c>
      <c r="H40" s="46">
        <v>14</v>
      </c>
      <c r="I40" s="46">
        <v>12</v>
      </c>
      <c r="J40" s="46">
        <v>11</v>
      </c>
      <c r="K40" s="46">
        <v>12</v>
      </c>
      <c r="L40" s="46">
        <v>9</v>
      </c>
      <c r="M40" s="46">
        <v>9</v>
      </c>
      <c r="N40" s="121"/>
      <c r="O40" s="121"/>
    </row>
    <row r="41" spans="2:15" ht="15" customHeight="1" thickBot="1">
      <c r="B41" s="84" t="s">
        <v>202</v>
      </c>
      <c r="C41" s="89" t="s">
        <v>59</v>
      </c>
      <c r="D41" s="59" t="s">
        <v>59</v>
      </c>
      <c r="E41" s="46" t="s">
        <v>59</v>
      </c>
      <c r="F41" s="46" t="s">
        <v>59</v>
      </c>
      <c r="G41" s="46" t="s">
        <v>59</v>
      </c>
      <c r="H41" s="46">
        <v>14</v>
      </c>
      <c r="I41" s="46">
        <v>14</v>
      </c>
      <c r="J41" s="46">
        <v>13</v>
      </c>
      <c r="K41" s="46">
        <v>13</v>
      </c>
      <c r="L41" s="46">
        <v>10</v>
      </c>
      <c r="M41" s="46">
        <v>10</v>
      </c>
      <c r="N41" s="121"/>
      <c r="O41" s="121"/>
    </row>
    <row r="42" spans="2:15" ht="15" customHeight="1" thickBot="1">
      <c r="B42" s="84" t="s">
        <v>159</v>
      </c>
      <c r="C42" s="1200" t="s">
        <v>59</v>
      </c>
      <c r="D42" s="95">
        <v>15</v>
      </c>
      <c r="E42" s="46" t="s">
        <v>59</v>
      </c>
      <c r="F42" s="46" t="s">
        <v>59</v>
      </c>
      <c r="G42" s="46" t="s">
        <v>59</v>
      </c>
      <c r="H42" s="46">
        <v>16</v>
      </c>
      <c r="I42" s="46">
        <v>16</v>
      </c>
      <c r="J42" s="46">
        <v>15</v>
      </c>
      <c r="K42" s="46">
        <v>11</v>
      </c>
      <c r="L42" s="46">
        <v>10</v>
      </c>
      <c r="M42" s="46">
        <v>8</v>
      </c>
      <c r="N42" s="121"/>
      <c r="O42" s="121"/>
    </row>
    <row r="43" spans="2:15" ht="15" customHeight="1" thickBot="1">
      <c r="B43" s="84" t="s">
        <v>152</v>
      </c>
      <c r="C43" s="89" t="s">
        <v>59</v>
      </c>
      <c r="D43" s="59" t="s">
        <v>59</v>
      </c>
      <c r="E43" s="46" t="s">
        <v>59</v>
      </c>
      <c r="F43" s="46" t="s">
        <v>59</v>
      </c>
      <c r="G43" s="46" t="s">
        <v>59</v>
      </c>
      <c r="H43" s="46">
        <v>9</v>
      </c>
      <c r="I43" s="46">
        <v>10</v>
      </c>
      <c r="J43" s="46">
        <v>9</v>
      </c>
      <c r="K43" s="46">
        <v>8</v>
      </c>
      <c r="L43" s="46">
        <v>4</v>
      </c>
      <c r="M43" s="46">
        <v>5</v>
      </c>
      <c r="N43" s="121"/>
      <c r="O43" s="121"/>
    </row>
    <row r="44" spans="2:15" ht="15" customHeight="1" thickBot="1">
      <c r="B44" s="84" t="s">
        <v>241</v>
      </c>
      <c r="C44" s="89" t="s">
        <v>59</v>
      </c>
      <c r="D44" s="59" t="s">
        <v>59</v>
      </c>
      <c r="E44" s="46" t="s">
        <v>59</v>
      </c>
      <c r="F44" s="46" t="s">
        <v>59</v>
      </c>
      <c r="G44" s="46" t="s">
        <v>59</v>
      </c>
      <c r="H44" s="46">
        <v>3</v>
      </c>
      <c r="I44" s="46">
        <v>10</v>
      </c>
      <c r="J44" s="46">
        <v>3</v>
      </c>
      <c r="K44" s="46">
        <v>11</v>
      </c>
      <c r="L44" s="46">
        <v>14</v>
      </c>
      <c r="M44" s="46">
        <v>12</v>
      </c>
      <c r="N44" s="121"/>
      <c r="O44" s="121"/>
    </row>
    <row r="45" spans="2:15" ht="15" customHeight="1" thickBot="1">
      <c r="B45" s="84" t="s">
        <v>71</v>
      </c>
      <c r="C45" s="89" t="s">
        <v>59</v>
      </c>
      <c r="D45" s="59" t="s">
        <v>59</v>
      </c>
      <c r="E45" s="46" t="s">
        <v>59</v>
      </c>
      <c r="F45" s="46" t="s">
        <v>59</v>
      </c>
      <c r="G45" s="46" t="s">
        <v>59</v>
      </c>
      <c r="H45" s="46" t="s">
        <v>59</v>
      </c>
      <c r="I45" s="46">
        <v>23</v>
      </c>
      <c r="J45" s="46">
        <v>32</v>
      </c>
      <c r="K45" s="46">
        <v>12</v>
      </c>
      <c r="L45" s="46">
        <v>22</v>
      </c>
      <c r="M45" s="46">
        <v>19</v>
      </c>
      <c r="N45" s="121"/>
      <c r="O45" s="121"/>
    </row>
    <row r="46" spans="2:15" ht="15" customHeight="1" thickBot="1">
      <c r="B46" s="84" t="s">
        <v>120</v>
      </c>
      <c r="C46" s="89" t="s">
        <v>59</v>
      </c>
      <c r="D46" s="59" t="s">
        <v>59</v>
      </c>
      <c r="E46" s="46" t="s">
        <v>59</v>
      </c>
      <c r="F46" s="46" t="s">
        <v>59</v>
      </c>
      <c r="G46" s="46" t="s">
        <v>59</v>
      </c>
      <c r="H46" s="46">
        <v>3</v>
      </c>
      <c r="I46" s="46">
        <v>45</v>
      </c>
      <c r="J46" s="46">
        <v>45</v>
      </c>
      <c r="K46" s="46">
        <v>45</v>
      </c>
      <c r="L46" s="46"/>
      <c r="M46" s="46"/>
      <c r="N46" s="121"/>
      <c r="O46" s="121"/>
    </row>
    <row r="47" spans="2:15" ht="15" customHeight="1" thickBot="1">
      <c r="B47" s="84"/>
      <c r="C47" s="1200"/>
      <c r="D47" s="95"/>
      <c r="E47" s="46"/>
      <c r="F47" s="46"/>
      <c r="G47" s="46"/>
      <c r="H47" s="46"/>
      <c r="I47" s="46"/>
      <c r="J47" s="46"/>
      <c r="K47" s="46"/>
      <c r="L47" s="46"/>
      <c r="M47" s="46"/>
      <c r="N47" s="121"/>
      <c r="O47" s="121"/>
    </row>
    <row r="48" spans="2:15" ht="15" customHeight="1" thickBot="1">
      <c r="B48" s="84" t="s">
        <v>242</v>
      </c>
      <c r="C48" s="1200">
        <v>1115</v>
      </c>
      <c r="D48" s="95">
        <v>1312</v>
      </c>
      <c r="E48" s="46">
        <v>1068</v>
      </c>
      <c r="F48" s="46">
        <v>1309</v>
      </c>
      <c r="G48" s="46">
        <v>1155</v>
      </c>
      <c r="H48" s="46">
        <v>1169</v>
      </c>
      <c r="I48" s="46">
        <v>1151</v>
      </c>
      <c r="J48" s="46">
        <v>1042</v>
      </c>
      <c r="K48" s="46">
        <v>858</v>
      </c>
      <c r="L48" s="46">
        <v>659</v>
      </c>
      <c r="M48" s="46">
        <v>671</v>
      </c>
      <c r="N48" s="121"/>
      <c r="O48" s="121"/>
    </row>
    <row r="49" spans="2:15" ht="15" thickBot="1">
      <c r="B49" s="10" t="s">
        <v>1920</v>
      </c>
      <c r="K49" s="76"/>
      <c r="O49" s="16"/>
    </row>
    <row r="50" spans="2:15">
      <c r="B50" s="1573" t="s">
        <v>2414</v>
      </c>
      <c r="C50" s="1573"/>
      <c r="D50" s="1573"/>
      <c r="E50" s="1573"/>
      <c r="F50" s="16"/>
      <c r="G50" s="16"/>
      <c r="H50" s="16"/>
      <c r="I50" s="16"/>
      <c r="J50" s="16"/>
      <c r="K50" s="16"/>
    </row>
    <row r="51" spans="2:15">
      <c r="B51" s="92"/>
      <c r="C51" s="16"/>
      <c r="D51" s="16"/>
      <c r="E51" s="16"/>
      <c r="F51" s="16"/>
      <c r="G51" s="16"/>
      <c r="H51" s="16"/>
      <c r="I51" s="16"/>
      <c r="J51" s="16"/>
      <c r="K51" s="16"/>
    </row>
    <row r="52" spans="2:15">
      <c r="B52" s="92"/>
    </row>
    <row r="53" spans="2:15">
      <c r="B53" s="92"/>
    </row>
    <row r="54" spans="2:15">
      <c r="B54" s="92"/>
    </row>
    <row r="55" spans="2:15">
      <c r="B55" s="92"/>
    </row>
    <row r="56" spans="2:15">
      <c r="B56" s="92"/>
    </row>
    <row r="57" spans="2:15">
      <c r="B57" s="92"/>
    </row>
    <row r="58" spans="2:15">
      <c r="B58" s="8"/>
    </row>
    <row r="59" spans="2:15">
      <c r="B59" s="9"/>
    </row>
  </sheetData>
  <mergeCells count="2">
    <mergeCell ref="B32:E32"/>
    <mergeCell ref="B50:E50"/>
  </mergeCells>
  <phoneticPr fontId="138" type="noConversion"/>
  <hyperlinks>
    <hyperlink ref="B49" r:id="rId1" display="Source: Servizio de información Agroalimentaria y Pesquera Mexico, 2020 " xr:uid="{00000000-0004-0000-1C00-000000000000}"/>
    <hyperlink ref="O35" r:id="rId2" display="https://www.gob.mx/agricultura/dgsiap/acciones-y-programas/produccion-agricola-33119" xr:uid="{C1659DC5-497F-445E-AD9E-8885F94CE8B7}"/>
    <hyperlink ref="B32:E32" r:id="rId3" display="1 Source: Gobierno de Mexico, Anuario Estadístico de la Producción Agrícola, 2025" xr:uid="{AC0041BC-894F-4343-AA03-2EACAF91882E}"/>
    <hyperlink ref="B50:E50" r:id="rId4" display="1 Source: Gobierno de Mexico, Anuario Estadístico de la Producción Agrícola, 2025" xr:uid="{77ABD469-2965-401E-B807-15A455DC4593}"/>
  </hyperlinks>
  <pageMargins left="0.7" right="0.7" top="0.78740157499999996" bottom="0.78740157499999996" header="0.3" footer="0.3"/>
  <pageSetup paperSize="9" orientation="portrait" r:id="rId5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B050"/>
  </sheetPr>
  <dimension ref="B2:T227"/>
  <sheetViews>
    <sheetView topLeftCell="A130" zoomScale="80" zoomScaleNormal="80" workbookViewId="0">
      <selection activeCell="B134" sqref="B134"/>
    </sheetView>
  </sheetViews>
  <sheetFormatPr defaultColWidth="11.44140625" defaultRowHeight="14.4"/>
  <cols>
    <col min="2" max="2" width="25.109375" customWidth="1"/>
    <col min="3" max="3" width="9.88671875" customWidth="1"/>
    <col min="4" max="4" width="10.6640625" customWidth="1"/>
    <col min="5" max="5" width="9" customWidth="1"/>
    <col min="6" max="6" width="11.44140625" customWidth="1"/>
    <col min="7" max="7" width="13.109375" customWidth="1"/>
    <col min="8" max="10" width="8.44140625" customWidth="1"/>
    <col min="11" max="13" width="8.88671875" customWidth="1"/>
    <col min="14" max="14" width="18.6640625" customWidth="1"/>
    <col min="19" max="19" width="22.109375" customWidth="1"/>
  </cols>
  <sheetData>
    <row r="2" spans="2:6" ht="15.6">
      <c r="B2" s="83" t="s">
        <v>1185</v>
      </c>
    </row>
    <row r="3" spans="2:6" ht="15.6">
      <c r="B3" s="83"/>
    </row>
    <row r="4" spans="2:6" ht="15.6">
      <c r="B4" s="83"/>
    </row>
    <row r="5" spans="2:6" ht="15.6">
      <c r="B5" s="83" t="s">
        <v>2417</v>
      </c>
    </row>
    <row r="6" spans="2:6" ht="15.6">
      <c r="B6" s="83"/>
    </row>
    <row r="7" spans="2:6">
      <c r="B7" s="13" t="s">
        <v>530</v>
      </c>
      <c r="C7" s="239">
        <v>18</v>
      </c>
      <c r="D7" s="240" t="s">
        <v>1186</v>
      </c>
      <c r="F7" s="239"/>
    </row>
    <row r="8" spans="2:6">
      <c r="B8" s="13" t="s">
        <v>532</v>
      </c>
      <c r="C8" s="645">
        <v>41500</v>
      </c>
      <c r="D8" s="240" t="s">
        <v>533</v>
      </c>
      <c r="F8" s="645"/>
    </row>
    <row r="9" spans="2:6" ht="26.4">
      <c r="B9" s="242" t="s">
        <v>534</v>
      </c>
      <c r="C9" s="243">
        <v>526</v>
      </c>
      <c r="D9" s="244" t="s">
        <v>535</v>
      </c>
      <c r="F9" s="247"/>
    </row>
    <row r="10" spans="2:6" ht="15" customHeight="1">
      <c r="B10" s="245"/>
      <c r="C10" s="246"/>
      <c r="D10" s="240"/>
      <c r="F10" s="246"/>
    </row>
    <row r="11" spans="2:6" ht="15.6">
      <c r="B11" s="13" t="s">
        <v>536</v>
      </c>
      <c r="C11" s="247">
        <v>1131</v>
      </c>
      <c r="D11" s="240" t="s">
        <v>537</v>
      </c>
      <c r="F11" s="247"/>
    </row>
    <row r="12" spans="2:6">
      <c r="B12" s="245" t="s">
        <v>538</v>
      </c>
      <c r="C12" s="246">
        <v>62840</v>
      </c>
      <c r="D12" s="240" t="s">
        <v>539</v>
      </c>
      <c r="F12" s="246"/>
    </row>
    <row r="13" spans="2:6" ht="15" customHeight="1">
      <c r="B13" s="13" t="s">
        <v>540</v>
      </c>
      <c r="C13" s="247">
        <v>1494</v>
      </c>
      <c r="D13" s="240" t="s">
        <v>537</v>
      </c>
      <c r="F13" s="247"/>
    </row>
    <row r="14" spans="2:6">
      <c r="B14" s="245" t="s">
        <v>541</v>
      </c>
      <c r="C14" s="246"/>
      <c r="D14" s="240"/>
      <c r="F14" s="246"/>
    </row>
    <row r="15" spans="2:6" ht="15" customHeight="1">
      <c r="B15" s="245" t="s">
        <v>538</v>
      </c>
      <c r="C15" s="246">
        <v>83040</v>
      </c>
      <c r="D15" s="240" t="s">
        <v>542</v>
      </c>
      <c r="F15" s="246"/>
    </row>
    <row r="16" spans="2:6">
      <c r="B16" s="248"/>
      <c r="C16" s="249"/>
      <c r="D16" s="244"/>
      <c r="F16" s="246"/>
    </row>
    <row r="17" spans="2:8">
      <c r="B17" s="13" t="s">
        <v>543</v>
      </c>
      <c r="C17" s="239">
        <v>1</v>
      </c>
      <c r="D17" s="240" t="s">
        <v>544</v>
      </c>
      <c r="F17" s="239"/>
    </row>
    <row r="18" spans="2:8" ht="26.4">
      <c r="B18" s="13" t="s">
        <v>545</v>
      </c>
      <c r="C18" s="239">
        <v>0.3</v>
      </c>
      <c r="D18" s="240" t="s">
        <v>546</v>
      </c>
      <c r="F18" s="239"/>
    </row>
    <row r="19" spans="2:8" ht="15" customHeight="1">
      <c r="B19" s="245"/>
      <c r="C19" s="246"/>
      <c r="D19" s="246"/>
      <c r="E19" s="246"/>
      <c r="F19" s="246"/>
      <c r="G19" s="246"/>
    </row>
    <row r="20" spans="2:8">
      <c r="B20" s="250" t="s">
        <v>595</v>
      </c>
      <c r="C20" s="251"/>
      <c r="D20" s="251"/>
      <c r="E20" s="251"/>
      <c r="F20" s="251"/>
      <c r="G20" s="251"/>
    </row>
    <row r="21" spans="2:8">
      <c r="B21" s="252" t="s">
        <v>2415</v>
      </c>
      <c r="C21" s="253"/>
      <c r="D21" s="253"/>
      <c r="E21" s="253"/>
      <c r="F21" s="253"/>
      <c r="G21" s="253"/>
    </row>
    <row r="22" spans="2:8">
      <c r="H22" s="240"/>
    </row>
    <row r="23" spans="2:8">
      <c r="H23" s="251"/>
    </row>
    <row r="24" spans="2:8" ht="15.6">
      <c r="B24" s="86" t="s">
        <v>748</v>
      </c>
      <c r="C24" s="86"/>
      <c r="D24" s="86"/>
      <c r="E24" s="86"/>
      <c r="F24" s="86"/>
      <c r="G24" s="86"/>
    </row>
    <row r="25" spans="2:8">
      <c r="B25" s="290" t="s">
        <v>842</v>
      </c>
      <c r="C25" s="81"/>
      <c r="D25" s="81"/>
      <c r="E25" s="81"/>
      <c r="F25" s="81"/>
      <c r="G25" s="81"/>
      <c r="H25" s="548"/>
    </row>
    <row r="27" spans="2:8">
      <c r="B27" s="697"/>
      <c r="C27" s="699"/>
      <c r="D27" s="699"/>
      <c r="E27" s="699"/>
      <c r="F27" s="290"/>
    </row>
    <row r="28" spans="2:8" ht="55.8">
      <c r="B28" s="680" t="s">
        <v>751</v>
      </c>
      <c r="C28" s="681" t="s">
        <v>1187</v>
      </c>
      <c r="D28" s="681" t="s">
        <v>70</v>
      </c>
      <c r="E28" s="681" t="s">
        <v>1188</v>
      </c>
      <c r="F28" s="970"/>
    </row>
    <row r="29" spans="2:8">
      <c r="B29" t="s">
        <v>2410</v>
      </c>
      <c r="C29" s="1318">
        <v>8821</v>
      </c>
      <c r="F29" s="971"/>
    </row>
    <row r="30" spans="2:8">
      <c r="B30" s="704">
        <v>2023</v>
      </c>
      <c r="C30" s="1318">
        <v>8384</v>
      </c>
      <c r="D30" s="1318">
        <v>5654</v>
      </c>
      <c r="E30" s="1318">
        <v>2564</v>
      </c>
      <c r="F30" s="971"/>
    </row>
    <row r="31" spans="2:8">
      <c r="B31" s="704">
        <v>2022</v>
      </c>
      <c r="C31" s="1321">
        <v>7754</v>
      </c>
      <c r="D31" s="1318">
        <v>4984</v>
      </c>
      <c r="E31" s="1318">
        <v>2664</v>
      </c>
      <c r="F31" s="971"/>
    </row>
    <row r="32" spans="2:8">
      <c r="B32" s="711">
        <v>2021</v>
      </c>
      <c r="C32" s="551">
        <v>8132</v>
      </c>
      <c r="D32" s="551">
        <v>5206</v>
      </c>
      <c r="E32" s="551">
        <v>2828</v>
      </c>
      <c r="F32" s="971"/>
    </row>
    <row r="33" spans="2:19">
      <c r="B33" s="711">
        <v>2020</v>
      </c>
      <c r="C33" s="551">
        <v>6939</v>
      </c>
      <c r="D33" s="551">
        <v>4576</v>
      </c>
      <c r="E33" s="551">
        <v>2260</v>
      </c>
      <c r="F33" s="971"/>
    </row>
    <row r="34" spans="2:19">
      <c r="B34" s="711">
        <v>2019</v>
      </c>
      <c r="C34" s="551">
        <v>6880</v>
      </c>
      <c r="D34" s="551">
        <v>4398</v>
      </c>
      <c r="E34" s="551">
        <v>2380</v>
      </c>
      <c r="F34" s="971"/>
    </row>
    <row r="35" spans="2:19">
      <c r="B35" s="711">
        <v>2018</v>
      </c>
      <c r="C35" s="551">
        <v>6777</v>
      </c>
      <c r="D35" s="551">
        <v>4349</v>
      </c>
      <c r="E35" s="551">
        <v>2331</v>
      </c>
      <c r="F35" s="971"/>
    </row>
    <row r="36" spans="2:19">
      <c r="B36" s="711">
        <v>2017</v>
      </c>
      <c r="C36" s="551">
        <v>7022</v>
      </c>
      <c r="D36" s="551">
        <v>4487</v>
      </c>
      <c r="E36" s="551">
        <v>2435</v>
      </c>
      <c r="F36" s="971"/>
    </row>
    <row r="37" spans="2:19">
      <c r="B37" s="711">
        <v>2016</v>
      </c>
      <c r="C37" s="551">
        <v>6812</v>
      </c>
      <c r="D37" s="551">
        <v>4251</v>
      </c>
      <c r="E37" s="551">
        <v>2440</v>
      </c>
      <c r="F37" s="971"/>
    </row>
    <row r="38" spans="2:19">
      <c r="B38" s="711">
        <v>2015</v>
      </c>
      <c r="C38" s="551">
        <v>6578</v>
      </c>
      <c r="D38" s="551">
        <v>4103</v>
      </c>
      <c r="E38" s="551">
        <v>2373</v>
      </c>
      <c r="F38" s="971"/>
    </row>
    <row r="39" spans="2:19">
      <c r="B39" s="711">
        <v>2014</v>
      </c>
      <c r="C39" s="551">
        <v>6506</v>
      </c>
      <c r="D39" s="551">
        <v>4051</v>
      </c>
      <c r="E39" s="551">
        <v>2342</v>
      </c>
      <c r="F39" s="971"/>
    </row>
    <row r="40" spans="2:19">
      <c r="B40" s="711">
        <v>2013</v>
      </c>
      <c r="C40" s="551">
        <v>6421</v>
      </c>
      <c r="D40" s="551">
        <v>4014</v>
      </c>
      <c r="E40" s="551">
        <v>2329</v>
      </c>
      <c r="F40" s="971"/>
    </row>
    <row r="41" spans="2:19">
      <c r="B41" s="711">
        <v>2012</v>
      </c>
      <c r="C41" s="551">
        <v>6193</v>
      </c>
      <c r="D41" s="551">
        <v>3829.39</v>
      </c>
      <c r="E41" s="551">
        <v>2292</v>
      </c>
    </row>
    <row r="42" spans="2:19">
      <c r="B42" s="375" t="s">
        <v>928</v>
      </c>
    </row>
    <row r="43" spans="2:19">
      <c r="B43" s="193" t="s">
        <v>754</v>
      </c>
    </row>
    <row r="46" spans="2:19" ht="15.6">
      <c r="B46" s="83" t="s">
        <v>106</v>
      </c>
      <c r="C46" s="93"/>
      <c r="D46" s="93"/>
      <c r="E46" s="93"/>
      <c r="F46" s="93"/>
      <c r="G46" s="93"/>
      <c r="H46" s="93"/>
      <c r="I46" s="93"/>
      <c r="J46" s="93"/>
      <c r="K46" s="83"/>
      <c r="L46" s="83"/>
      <c r="M46" s="83"/>
      <c r="N46" s="83"/>
      <c r="O46" s="83"/>
    </row>
    <row r="47" spans="2:19">
      <c r="B47" s="93" t="s">
        <v>1189</v>
      </c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</row>
    <row r="48" spans="2:19">
      <c r="B48" s="712"/>
      <c r="C48" s="174">
        <v>2024</v>
      </c>
      <c r="D48" s="174">
        <v>2023</v>
      </c>
      <c r="E48" s="174">
        <v>2022</v>
      </c>
      <c r="F48" s="115">
        <v>2021</v>
      </c>
      <c r="G48" s="115">
        <v>2020</v>
      </c>
      <c r="H48" s="115">
        <v>2019</v>
      </c>
      <c r="I48" s="115">
        <v>2018</v>
      </c>
      <c r="J48" s="115">
        <v>2017</v>
      </c>
      <c r="K48" s="115">
        <v>2016</v>
      </c>
      <c r="L48" s="115">
        <v>2015</v>
      </c>
      <c r="M48" s="115">
        <v>2014</v>
      </c>
      <c r="N48" s="115">
        <v>2013</v>
      </c>
      <c r="O48" s="94"/>
      <c r="R48" s="94"/>
      <c r="S48" s="94"/>
    </row>
    <row r="49" spans="2:19" ht="15" customHeight="1">
      <c r="B49" s="40" t="s">
        <v>56</v>
      </c>
      <c r="C49" s="1244">
        <v>4020</v>
      </c>
      <c r="D49" s="1401">
        <v>4090</v>
      </c>
      <c r="E49" s="126">
        <v>4210</v>
      </c>
      <c r="F49" s="126">
        <v>4060</v>
      </c>
      <c r="G49" s="126">
        <v>3920</v>
      </c>
      <c r="H49" s="126">
        <v>3810</v>
      </c>
      <c r="I49" s="126">
        <v>3500</v>
      </c>
      <c r="J49" s="126">
        <v>3592</v>
      </c>
      <c r="K49" s="126">
        <v>3817</v>
      </c>
      <c r="L49" s="126">
        <v>3915</v>
      </c>
      <c r="M49" s="126">
        <v>4138</v>
      </c>
      <c r="N49" s="126">
        <v>4396</v>
      </c>
      <c r="O49" s="126"/>
      <c r="R49" s="1574"/>
      <c r="S49" s="1574"/>
    </row>
    <row r="50" spans="2:19" ht="15" thickBot="1">
      <c r="B50" s="1095" t="s">
        <v>1191</v>
      </c>
      <c r="C50" s="1245"/>
      <c r="D50" s="1420"/>
      <c r="E50" s="1096"/>
      <c r="F50" s="1096"/>
      <c r="G50" s="1096"/>
      <c r="H50" s="1096"/>
      <c r="I50" s="1096"/>
      <c r="J50" s="1096"/>
      <c r="K50" s="1096"/>
      <c r="L50" s="1096"/>
      <c r="M50" s="1096"/>
      <c r="N50" s="1096"/>
      <c r="O50" s="126"/>
      <c r="R50" s="1574"/>
      <c r="S50" s="1574"/>
    </row>
    <row r="51" spans="2:19" ht="15" thickBot="1">
      <c r="B51" s="49" t="s">
        <v>1192</v>
      </c>
      <c r="C51" s="1144">
        <v>1790</v>
      </c>
      <c r="D51" s="1207">
        <v>1850</v>
      </c>
      <c r="E51" s="43">
        <v>1960</v>
      </c>
      <c r="F51" s="974">
        <v>1980</v>
      </c>
      <c r="G51" s="974">
        <v>1900</v>
      </c>
      <c r="H51" s="43">
        <v>1800</v>
      </c>
      <c r="I51" s="43">
        <v>1640</v>
      </c>
      <c r="J51" s="43">
        <v>1692</v>
      </c>
      <c r="K51" s="43">
        <v>1859</v>
      </c>
      <c r="L51" s="43">
        <v>1877</v>
      </c>
      <c r="M51" s="43">
        <v>2042</v>
      </c>
      <c r="N51" s="43">
        <v>2139</v>
      </c>
      <c r="O51" s="126"/>
      <c r="R51" s="126"/>
      <c r="S51" s="126"/>
    </row>
    <row r="52" spans="2:19" ht="15" thickBot="1">
      <c r="B52" s="36" t="s">
        <v>115</v>
      </c>
      <c r="C52" s="1143">
        <v>490</v>
      </c>
      <c r="D52" s="1140">
        <v>480</v>
      </c>
      <c r="E52" s="44">
        <v>500</v>
      </c>
      <c r="F52" s="890">
        <v>470</v>
      </c>
      <c r="G52" s="890">
        <v>450</v>
      </c>
      <c r="H52" s="44">
        <v>430</v>
      </c>
      <c r="I52" s="44">
        <v>370</v>
      </c>
      <c r="J52" s="44">
        <v>334</v>
      </c>
      <c r="K52" s="44">
        <v>383</v>
      </c>
      <c r="L52" s="44">
        <v>391</v>
      </c>
      <c r="M52" s="44">
        <v>475</v>
      </c>
      <c r="N52" s="44">
        <v>479</v>
      </c>
      <c r="O52" s="39"/>
      <c r="R52" s="39"/>
      <c r="S52" s="39"/>
    </row>
    <row r="53" spans="2:19" ht="15" thickBot="1">
      <c r="B53" s="36" t="s">
        <v>113</v>
      </c>
      <c r="C53" s="1143">
        <v>150</v>
      </c>
      <c r="D53" s="1140">
        <v>160</v>
      </c>
      <c r="E53" s="44">
        <v>170</v>
      </c>
      <c r="F53" s="890">
        <v>170</v>
      </c>
      <c r="G53" s="890">
        <v>200</v>
      </c>
      <c r="H53" s="44">
        <v>200</v>
      </c>
      <c r="I53" s="44">
        <v>230</v>
      </c>
      <c r="J53" s="44">
        <v>228</v>
      </c>
      <c r="K53" s="44">
        <v>257</v>
      </c>
      <c r="L53" s="44">
        <v>283</v>
      </c>
      <c r="M53" s="44">
        <v>311</v>
      </c>
      <c r="N53" s="44">
        <v>384</v>
      </c>
      <c r="O53" s="39"/>
      <c r="R53" s="39"/>
      <c r="S53" s="39"/>
    </row>
    <row r="54" spans="2:19" ht="15" thickBot="1">
      <c r="B54" s="36" t="s">
        <v>406</v>
      </c>
      <c r="C54" s="1143">
        <v>160</v>
      </c>
      <c r="D54" s="1140">
        <v>160</v>
      </c>
      <c r="E54" s="44">
        <v>170</v>
      </c>
      <c r="F54" s="890">
        <v>170</v>
      </c>
      <c r="G54" s="890">
        <v>160</v>
      </c>
      <c r="H54" s="44">
        <v>160</v>
      </c>
      <c r="I54" s="44">
        <v>160</v>
      </c>
      <c r="J54" s="44">
        <v>167</v>
      </c>
      <c r="K54" s="44">
        <v>188</v>
      </c>
      <c r="L54" s="44">
        <v>161</v>
      </c>
      <c r="M54" s="44">
        <v>176</v>
      </c>
      <c r="N54" s="44">
        <v>169</v>
      </c>
      <c r="O54" s="39"/>
      <c r="R54" s="39"/>
      <c r="S54" s="39"/>
    </row>
    <row r="55" spans="2:19" ht="15" thickBot="1">
      <c r="B55" s="36" t="s">
        <v>114</v>
      </c>
      <c r="C55" s="1143">
        <v>160</v>
      </c>
      <c r="D55" s="1140">
        <v>190</v>
      </c>
      <c r="E55" s="44">
        <v>190</v>
      </c>
      <c r="F55" s="890">
        <v>190</v>
      </c>
      <c r="G55" s="890">
        <v>180</v>
      </c>
      <c r="H55" s="44">
        <v>150</v>
      </c>
      <c r="I55" s="44">
        <v>110</v>
      </c>
      <c r="J55" s="44">
        <v>136</v>
      </c>
      <c r="K55" s="44">
        <v>138</v>
      </c>
      <c r="L55" s="44">
        <v>167</v>
      </c>
      <c r="M55" s="44">
        <v>171</v>
      </c>
      <c r="N55" s="44">
        <v>189</v>
      </c>
      <c r="O55" s="39"/>
      <c r="R55" s="39"/>
      <c r="S55" s="39"/>
    </row>
    <row r="56" spans="2:19" ht="15" thickBot="1">
      <c r="B56" s="36" t="s">
        <v>741</v>
      </c>
      <c r="C56" s="1143">
        <v>130</v>
      </c>
      <c r="D56" s="1140">
        <v>140</v>
      </c>
      <c r="E56" s="44">
        <v>150</v>
      </c>
      <c r="F56" s="890">
        <v>140</v>
      </c>
      <c r="G56" s="890">
        <v>120</v>
      </c>
      <c r="H56" s="44">
        <v>120</v>
      </c>
      <c r="I56" s="44">
        <v>100</v>
      </c>
      <c r="J56" s="44">
        <v>75</v>
      </c>
      <c r="K56" s="44" t="s">
        <v>59</v>
      </c>
      <c r="L56" s="44" t="s">
        <v>59</v>
      </c>
      <c r="M56" s="44" t="s">
        <v>59</v>
      </c>
      <c r="N56" s="44" t="s">
        <v>59</v>
      </c>
      <c r="O56" s="39"/>
      <c r="R56" s="39"/>
      <c r="S56" s="39"/>
    </row>
    <row r="57" spans="2:19" ht="15" thickBot="1">
      <c r="B57" s="36" t="s">
        <v>120</v>
      </c>
      <c r="C57" s="1143">
        <v>80</v>
      </c>
      <c r="D57" s="1140">
        <v>90</v>
      </c>
      <c r="E57" s="44">
        <v>100</v>
      </c>
      <c r="F57" s="890">
        <v>110</v>
      </c>
      <c r="G57" s="890">
        <v>110</v>
      </c>
      <c r="H57" s="44">
        <v>120</v>
      </c>
      <c r="I57" s="44">
        <v>110</v>
      </c>
      <c r="J57" s="44">
        <v>13</v>
      </c>
      <c r="K57" s="44">
        <v>161</v>
      </c>
      <c r="L57" s="44">
        <v>168</v>
      </c>
      <c r="M57" s="44">
        <v>195</v>
      </c>
      <c r="N57" s="44">
        <v>212</v>
      </c>
      <c r="O57" s="39"/>
      <c r="R57" s="39"/>
      <c r="S57" s="39"/>
    </row>
    <row r="58" spans="2:19" ht="15" thickBot="1">
      <c r="B58" s="36" t="s">
        <v>1193</v>
      </c>
      <c r="C58" s="1143">
        <v>70</v>
      </c>
      <c r="D58" s="1140">
        <v>100</v>
      </c>
      <c r="E58" s="44">
        <v>110</v>
      </c>
      <c r="F58" s="890">
        <v>110</v>
      </c>
      <c r="G58" s="890">
        <v>100</v>
      </c>
      <c r="H58" s="44">
        <v>90</v>
      </c>
      <c r="I58" s="44">
        <v>80</v>
      </c>
      <c r="J58" s="44">
        <v>61</v>
      </c>
      <c r="K58" s="44" t="s">
        <v>59</v>
      </c>
      <c r="L58" s="44" t="s">
        <v>59</v>
      </c>
      <c r="M58" s="44" t="s">
        <v>59</v>
      </c>
      <c r="N58" s="44" t="s">
        <v>59</v>
      </c>
      <c r="O58" s="39"/>
      <c r="R58" s="39"/>
      <c r="S58" s="39"/>
    </row>
    <row r="59" spans="2:19" ht="15" thickBot="1">
      <c r="B59" s="36" t="s">
        <v>621</v>
      </c>
      <c r="C59" s="1143">
        <v>60</v>
      </c>
      <c r="D59" s="1140">
        <v>70</v>
      </c>
      <c r="E59" s="44">
        <v>70</v>
      </c>
      <c r="F59" s="890">
        <v>70</v>
      </c>
      <c r="G59" s="890">
        <v>60</v>
      </c>
      <c r="H59" s="44">
        <v>60</v>
      </c>
      <c r="I59" s="44">
        <v>60</v>
      </c>
      <c r="J59" s="44">
        <v>66</v>
      </c>
      <c r="K59" s="44">
        <v>78</v>
      </c>
      <c r="L59" s="44">
        <v>74</v>
      </c>
      <c r="M59" s="44">
        <v>85</v>
      </c>
      <c r="N59" s="44">
        <v>97</v>
      </c>
      <c r="O59" s="39"/>
      <c r="R59" s="39"/>
      <c r="S59" s="39"/>
    </row>
    <row r="60" spans="2:19" ht="15" thickBot="1">
      <c r="B60" s="36" t="s">
        <v>121</v>
      </c>
      <c r="C60" s="1143">
        <v>30</v>
      </c>
      <c r="D60" s="1140">
        <v>30</v>
      </c>
      <c r="E60" s="44">
        <v>40</v>
      </c>
      <c r="F60" s="890">
        <v>40</v>
      </c>
      <c r="G60" s="890">
        <v>40</v>
      </c>
      <c r="H60" s="44">
        <v>40</v>
      </c>
      <c r="I60" s="44">
        <v>40</v>
      </c>
      <c r="J60" s="44">
        <v>46</v>
      </c>
      <c r="K60" s="44">
        <v>41</v>
      </c>
      <c r="L60" s="44">
        <v>47</v>
      </c>
      <c r="M60" s="44">
        <v>58</v>
      </c>
      <c r="N60" s="44">
        <v>65</v>
      </c>
      <c r="O60" s="39"/>
      <c r="R60" s="39"/>
      <c r="S60" s="39"/>
    </row>
    <row r="61" spans="2:19" ht="15" thickBot="1">
      <c r="B61" s="36" t="s">
        <v>231</v>
      </c>
      <c r="C61" s="1143">
        <v>40</v>
      </c>
      <c r="D61" s="1140">
        <v>40</v>
      </c>
      <c r="E61" s="44">
        <v>40</v>
      </c>
      <c r="F61" s="890">
        <v>40</v>
      </c>
      <c r="G61" s="890">
        <v>40</v>
      </c>
      <c r="H61" s="44">
        <v>40</v>
      </c>
      <c r="I61" s="44">
        <v>30</v>
      </c>
      <c r="J61" s="44">
        <v>39</v>
      </c>
      <c r="K61" s="44">
        <v>38</v>
      </c>
      <c r="L61" s="44">
        <v>40</v>
      </c>
      <c r="M61" s="44">
        <v>50</v>
      </c>
      <c r="N61" s="44">
        <v>54</v>
      </c>
      <c r="O61" s="39"/>
      <c r="R61" s="39"/>
      <c r="S61" s="39"/>
    </row>
    <row r="62" spans="2:19" ht="15" thickBot="1">
      <c r="B62" s="36" t="s">
        <v>126</v>
      </c>
      <c r="C62" s="1143">
        <v>40</v>
      </c>
      <c r="D62" s="1140">
        <v>40</v>
      </c>
      <c r="E62" s="44">
        <v>70</v>
      </c>
      <c r="F62" s="890">
        <v>50</v>
      </c>
      <c r="G62" s="890">
        <v>40</v>
      </c>
      <c r="H62" s="44">
        <v>40</v>
      </c>
      <c r="I62" s="44">
        <v>30</v>
      </c>
      <c r="J62" s="44">
        <v>33</v>
      </c>
      <c r="K62" s="44">
        <v>33</v>
      </c>
      <c r="L62" s="44">
        <v>38</v>
      </c>
      <c r="M62" s="44">
        <v>39</v>
      </c>
      <c r="N62" s="44">
        <v>40</v>
      </c>
      <c r="O62" s="39"/>
      <c r="R62" s="39"/>
      <c r="S62" s="39"/>
    </row>
    <row r="63" spans="2:19" ht="15" thickBot="1">
      <c r="B63" s="36" t="s">
        <v>1194</v>
      </c>
      <c r="C63" s="1143">
        <v>40</v>
      </c>
      <c r="D63" s="1140">
        <v>40</v>
      </c>
      <c r="E63" s="44">
        <v>40</v>
      </c>
      <c r="F63" s="890">
        <v>40</v>
      </c>
      <c r="G63" s="890">
        <v>40</v>
      </c>
      <c r="H63" s="44">
        <v>30</v>
      </c>
      <c r="I63" s="44">
        <v>30</v>
      </c>
      <c r="J63" s="44">
        <v>15</v>
      </c>
      <c r="K63" s="44" t="s">
        <v>59</v>
      </c>
      <c r="L63" s="44" t="s">
        <v>59</v>
      </c>
      <c r="M63" s="44" t="s">
        <v>59</v>
      </c>
      <c r="N63" s="44" t="s">
        <v>59</v>
      </c>
      <c r="O63" s="39"/>
      <c r="R63" s="39"/>
      <c r="S63" s="39"/>
    </row>
    <row r="64" spans="2:19" ht="15" thickBot="1">
      <c r="B64" s="36" t="s">
        <v>117</v>
      </c>
      <c r="C64" s="1143">
        <v>10</v>
      </c>
      <c r="D64" s="1140">
        <v>10</v>
      </c>
      <c r="E64" s="44">
        <v>10</v>
      </c>
      <c r="F64" s="890">
        <v>10</v>
      </c>
      <c r="G64" s="890">
        <v>10</v>
      </c>
      <c r="H64" s="44">
        <v>10</v>
      </c>
      <c r="I64" s="44">
        <v>10</v>
      </c>
      <c r="J64" s="44">
        <v>11</v>
      </c>
      <c r="K64" s="44">
        <v>11</v>
      </c>
      <c r="L64" s="44">
        <v>14</v>
      </c>
      <c r="M64" s="44">
        <v>15</v>
      </c>
      <c r="N64" s="44">
        <v>15</v>
      </c>
      <c r="O64" s="39"/>
      <c r="R64" s="39"/>
      <c r="S64" s="39"/>
    </row>
    <row r="65" spans="2:19" ht="15" thickBot="1">
      <c r="B65" s="36" t="s">
        <v>978</v>
      </c>
      <c r="C65" s="1143">
        <v>320</v>
      </c>
      <c r="D65" s="1140">
        <v>300</v>
      </c>
      <c r="E65" s="44">
        <v>300</v>
      </c>
      <c r="F65" s="890">
        <v>300</v>
      </c>
      <c r="G65" s="890">
        <v>310</v>
      </c>
      <c r="H65" s="44">
        <v>280</v>
      </c>
      <c r="I65" s="44">
        <v>280</v>
      </c>
      <c r="J65" s="44">
        <v>344</v>
      </c>
      <c r="K65" s="44">
        <v>532</v>
      </c>
      <c r="L65" s="44">
        <v>494</v>
      </c>
      <c r="M65" s="44">
        <v>466</v>
      </c>
      <c r="N65" s="44">
        <v>434</v>
      </c>
      <c r="O65" s="39"/>
      <c r="R65" s="126"/>
      <c r="S65" s="126"/>
    </row>
    <row r="66" spans="2:19" ht="15" thickBot="1">
      <c r="B66" s="49" t="s">
        <v>1195</v>
      </c>
      <c r="C66" s="1144">
        <v>1740</v>
      </c>
      <c r="D66" s="1207">
        <v>1740</v>
      </c>
      <c r="E66" s="43">
        <v>1700</v>
      </c>
      <c r="F66" s="974">
        <v>1470</v>
      </c>
      <c r="G66" s="974">
        <v>1420</v>
      </c>
      <c r="H66" s="43">
        <v>1420</v>
      </c>
      <c r="I66" s="43">
        <v>1330</v>
      </c>
      <c r="J66" s="43">
        <v>1317</v>
      </c>
      <c r="K66" s="43">
        <v>1327</v>
      </c>
      <c r="L66" s="43">
        <v>1340</v>
      </c>
      <c r="M66" s="43">
        <v>1292</v>
      </c>
      <c r="N66" s="43">
        <v>1304</v>
      </c>
      <c r="O66" s="126"/>
      <c r="R66" s="126"/>
      <c r="S66" s="126"/>
    </row>
    <row r="67" spans="2:19" ht="15" thickBot="1">
      <c r="B67" s="36" t="s">
        <v>205</v>
      </c>
      <c r="C67" s="1143">
        <v>1140</v>
      </c>
      <c r="D67" s="1140">
        <v>1150</v>
      </c>
      <c r="E67" s="44">
        <v>1150</v>
      </c>
      <c r="F67" s="890">
        <v>960</v>
      </c>
      <c r="G67" s="890">
        <v>960</v>
      </c>
      <c r="H67" s="44">
        <v>1030</v>
      </c>
      <c r="I67" s="44">
        <v>950</v>
      </c>
      <c r="J67" s="44">
        <v>950</v>
      </c>
      <c r="K67" s="44">
        <v>936</v>
      </c>
      <c r="L67" s="44">
        <v>914</v>
      </c>
      <c r="M67" s="44">
        <v>882</v>
      </c>
      <c r="N67" s="44">
        <v>868</v>
      </c>
      <c r="O67" s="39"/>
      <c r="R67" s="39"/>
      <c r="S67" s="39"/>
    </row>
    <row r="68" spans="2:19" ht="15" thickBot="1">
      <c r="B68" s="36" t="s">
        <v>997</v>
      </c>
      <c r="C68" s="1143">
        <v>600</v>
      </c>
      <c r="D68" s="1140">
        <v>590</v>
      </c>
      <c r="E68" s="44">
        <v>550</v>
      </c>
      <c r="F68" s="890">
        <v>510</v>
      </c>
      <c r="G68" s="890">
        <v>460</v>
      </c>
      <c r="H68" s="44">
        <v>390</v>
      </c>
      <c r="I68" s="44">
        <v>380</v>
      </c>
      <c r="J68" s="44">
        <v>367</v>
      </c>
      <c r="K68" s="44">
        <v>391</v>
      </c>
      <c r="L68" s="44">
        <v>420</v>
      </c>
      <c r="M68" s="44">
        <v>410</v>
      </c>
      <c r="N68" s="44">
        <v>436</v>
      </c>
      <c r="O68" s="39"/>
      <c r="R68" s="39"/>
      <c r="S68" s="39"/>
    </row>
    <row r="69" spans="2:19" ht="15" thickBot="1">
      <c r="B69" s="49" t="s">
        <v>64</v>
      </c>
      <c r="C69" s="1144">
        <v>230</v>
      </c>
      <c r="D69" s="1207">
        <v>250</v>
      </c>
      <c r="E69" s="43">
        <v>270</v>
      </c>
      <c r="F69" s="974">
        <v>370</v>
      </c>
      <c r="G69" s="974">
        <v>370</v>
      </c>
      <c r="H69" s="43">
        <v>330</v>
      </c>
      <c r="I69" s="43">
        <v>310</v>
      </c>
      <c r="J69" s="43">
        <v>312</v>
      </c>
      <c r="K69" s="43">
        <v>330</v>
      </c>
      <c r="L69" s="43">
        <v>369</v>
      </c>
      <c r="M69" s="43">
        <v>406</v>
      </c>
      <c r="N69" s="43">
        <v>445</v>
      </c>
      <c r="O69" s="126"/>
      <c r="R69" s="126"/>
      <c r="S69" s="126"/>
    </row>
    <row r="70" spans="2:19" ht="15" thickBot="1">
      <c r="B70" s="84" t="s">
        <v>1196</v>
      </c>
      <c r="C70" s="1145" t="s">
        <v>59</v>
      </c>
      <c r="D70" s="1168" t="s">
        <v>59</v>
      </c>
      <c r="E70" s="44" t="s">
        <v>59</v>
      </c>
      <c r="F70" s="890" t="s">
        <v>59</v>
      </c>
      <c r="G70" s="890" t="s">
        <v>59</v>
      </c>
      <c r="H70" s="44" t="s">
        <v>59</v>
      </c>
      <c r="I70" s="44" t="s">
        <v>59</v>
      </c>
      <c r="J70" s="44">
        <v>20</v>
      </c>
      <c r="K70" s="44">
        <v>45</v>
      </c>
      <c r="L70" s="44">
        <v>57</v>
      </c>
      <c r="M70" s="44">
        <v>57</v>
      </c>
      <c r="N70" s="44">
        <v>64</v>
      </c>
      <c r="O70" s="39"/>
      <c r="R70" s="39"/>
      <c r="S70" s="39"/>
    </row>
    <row r="71" spans="2:19" ht="15" thickBot="1">
      <c r="B71" s="84" t="s">
        <v>580</v>
      </c>
      <c r="C71" s="1143">
        <v>110</v>
      </c>
      <c r="D71" s="1140">
        <v>100</v>
      </c>
      <c r="E71" s="44">
        <v>110</v>
      </c>
      <c r="F71" s="890">
        <v>80</v>
      </c>
      <c r="G71" s="890">
        <v>80</v>
      </c>
      <c r="H71" s="44">
        <v>90</v>
      </c>
      <c r="I71" s="44">
        <v>90</v>
      </c>
      <c r="J71" s="44">
        <v>101</v>
      </c>
      <c r="K71" s="44">
        <v>97</v>
      </c>
      <c r="L71" s="44">
        <v>132</v>
      </c>
      <c r="M71" s="44">
        <v>196</v>
      </c>
      <c r="N71" s="44">
        <v>296</v>
      </c>
      <c r="O71" s="39"/>
      <c r="R71" s="39"/>
      <c r="S71" s="39"/>
    </row>
    <row r="72" spans="2:19" ht="15" thickBot="1">
      <c r="B72" s="84" t="s">
        <v>988</v>
      </c>
      <c r="C72" s="1143">
        <v>110</v>
      </c>
      <c r="D72" s="1140">
        <v>120</v>
      </c>
      <c r="E72" s="44">
        <v>130</v>
      </c>
      <c r="F72" s="890">
        <v>130</v>
      </c>
      <c r="G72" s="890">
        <v>130</v>
      </c>
      <c r="H72" s="44">
        <v>130</v>
      </c>
      <c r="I72" s="44">
        <v>120</v>
      </c>
      <c r="J72" s="44">
        <v>126</v>
      </c>
      <c r="K72" s="44">
        <v>133</v>
      </c>
      <c r="L72" s="44">
        <v>119</v>
      </c>
      <c r="M72" s="44">
        <v>117</v>
      </c>
      <c r="N72" s="44">
        <v>118</v>
      </c>
      <c r="O72" s="39"/>
      <c r="R72" s="39"/>
      <c r="S72" s="39"/>
    </row>
    <row r="73" spans="2:19" ht="15" thickBot="1">
      <c r="B73" s="658" t="s">
        <v>130</v>
      </c>
      <c r="C73" s="1246">
        <v>20</v>
      </c>
      <c r="D73" s="1252">
        <v>20</v>
      </c>
      <c r="E73" s="75">
        <v>30</v>
      </c>
      <c r="F73" s="937">
        <v>20</v>
      </c>
      <c r="G73" s="937">
        <v>20</v>
      </c>
      <c r="H73" s="75">
        <v>20</v>
      </c>
      <c r="I73" s="75">
        <v>20</v>
      </c>
      <c r="J73" s="44">
        <v>23</v>
      </c>
      <c r="K73" s="44">
        <v>24</v>
      </c>
      <c r="L73" s="44">
        <v>28</v>
      </c>
      <c r="M73" s="44">
        <v>29</v>
      </c>
      <c r="N73" s="44">
        <v>30</v>
      </c>
      <c r="O73" s="39"/>
      <c r="R73" s="39"/>
      <c r="S73" s="39"/>
    </row>
    <row r="74" spans="2:19">
      <c r="B74" s="40" t="s">
        <v>56</v>
      </c>
      <c r="C74" s="1247"/>
      <c r="D74" s="1421"/>
      <c r="E74" s="126"/>
      <c r="F74" s="259"/>
      <c r="G74" s="259"/>
      <c r="H74" s="126"/>
      <c r="I74" s="126"/>
    </row>
    <row r="75" spans="2:19" ht="15" thickBot="1">
      <c r="B75" s="49" t="s">
        <v>1197</v>
      </c>
      <c r="C75" s="1144">
        <v>3490</v>
      </c>
      <c r="D75" s="1207">
        <v>3660</v>
      </c>
      <c r="E75" s="43">
        <v>3980</v>
      </c>
      <c r="F75" s="974">
        <v>3810</v>
      </c>
      <c r="G75" s="974">
        <v>3540</v>
      </c>
      <c r="H75" s="43">
        <v>3270</v>
      </c>
      <c r="I75" s="43">
        <v>3370</v>
      </c>
      <c r="J75" s="43">
        <v>3108</v>
      </c>
      <c r="K75" s="43">
        <v>2756</v>
      </c>
      <c r="L75" s="43">
        <v>2801</v>
      </c>
      <c r="M75" s="43">
        <v>2710</v>
      </c>
      <c r="N75" s="43">
        <v>2910</v>
      </c>
      <c r="O75" s="126"/>
      <c r="R75" s="126"/>
      <c r="S75" s="126"/>
    </row>
    <row r="76" spans="2:19" ht="15" thickBot="1">
      <c r="B76" s="49" t="s">
        <v>1192</v>
      </c>
      <c r="C76" s="1144">
        <v>2670</v>
      </c>
      <c r="D76" s="1207">
        <v>2760</v>
      </c>
      <c r="E76" s="43">
        <v>2970</v>
      </c>
      <c r="F76" s="974">
        <v>2810</v>
      </c>
      <c r="G76" s="974">
        <v>2760</v>
      </c>
      <c r="H76" s="43">
        <v>2620</v>
      </c>
      <c r="I76" s="43">
        <v>2670</v>
      </c>
      <c r="J76" s="43">
        <v>2465</v>
      </c>
      <c r="K76" s="43" t="s">
        <v>59</v>
      </c>
      <c r="L76" s="43" t="s">
        <v>59</v>
      </c>
      <c r="M76" s="43" t="s">
        <v>59</v>
      </c>
      <c r="N76" s="43" t="s">
        <v>59</v>
      </c>
      <c r="O76" s="126"/>
      <c r="R76" s="126"/>
      <c r="S76" s="126"/>
    </row>
    <row r="77" spans="2:19" ht="15" thickBot="1">
      <c r="B77" s="84" t="s">
        <v>118</v>
      </c>
      <c r="C77" s="1143">
        <v>700</v>
      </c>
      <c r="D77" s="1140">
        <v>160</v>
      </c>
      <c r="E77" s="44">
        <v>140</v>
      </c>
      <c r="F77" s="890">
        <v>150</v>
      </c>
      <c r="G77" s="890">
        <v>130</v>
      </c>
      <c r="H77" s="44">
        <v>170</v>
      </c>
      <c r="I77" s="44">
        <v>120</v>
      </c>
      <c r="J77" s="43">
        <v>126</v>
      </c>
      <c r="K77" s="43" t="s">
        <v>59</v>
      </c>
      <c r="L77" s="43" t="s">
        <v>59</v>
      </c>
      <c r="M77" s="43" t="s">
        <v>59</v>
      </c>
      <c r="N77" s="43" t="s">
        <v>59</v>
      </c>
      <c r="O77" s="126"/>
      <c r="R77" s="126"/>
      <c r="S77" s="126"/>
    </row>
    <row r="78" spans="2:19" ht="15" thickBot="1">
      <c r="B78" s="84" t="s">
        <v>114</v>
      </c>
      <c r="C78" s="1143">
        <v>120</v>
      </c>
      <c r="D78" s="1140">
        <v>100</v>
      </c>
      <c r="E78" s="44">
        <v>80</v>
      </c>
      <c r="F78" s="890">
        <v>100</v>
      </c>
      <c r="G78" s="890">
        <v>100</v>
      </c>
      <c r="H78" s="44">
        <v>110</v>
      </c>
      <c r="I78" s="44">
        <v>90</v>
      </c>
      <c r="J78" s="43">
        <v>125</v>
      </c>
      <c r="K78" s="43" t="s">
        <v>59</v>
      </c>
      <c r="L78" s="43" t="s">
        <v>59</v>
      </c>
      <c r="M78" s="43" t="s">
        <v>59</v>
      </c>
      <c r="N78" s="43" t="s">
        <v>59</v>
      </c>
      <c r="O78" s="126"/>
      <c r="R78" s="126"/>
      <c r="S78" s="126"/>
    </row>
    <row r="79" spans="2:19" ht="15" thickBot="1">
      <c r="B79" s="84" t="s">
        <v>141</v>
      </c>
      <c r="C79" s="1143">
        <v>20</v>
      </c>
      <c r="D79" s="1140">
        <v>30</v>
      </c>
      <c r="E79" s="44">
        <v>70</v>
      </c>
      <c r="F79" s="890">
        <v>50</v>
      </c>
      <c r="G79" s="890">
        <v>40</v>
      </c>
      <c r="H79" s="44">
        <v>60</v>
      </c>
      <c r="I79" s="44">
        <v>60</v>
      </c>
      <c r="J79" s="43">
        <v>101</v>
      </c>
      <c r="K79" s="43" t="s">
        <v>59</v>
      </c>
      <c r="L79" s="43" t="s">
        <v>59</v>
      </c>
      <c r="M79" s="43" t="s">
        <v>59</v>
      </c>
      <c r="N79" s="43" t="s">
        <v>59</v>
      </c>
      <c r="O79" s="126"/>
      <c r="R79" s="126"/>
      <c r="S79" s="126"/>
    </row>
    <row r="80" spans="2:19" ht="15" thickBot="1">
      <c r="B80" s="84" t="s">
        <v>1198</v>
      </c>
      <c r="C80" s="1143">
        <v>60</v>
      </c>
      <c r="D80" s="1140">
        <v>70</v>
      </c>
      <c r="E80" s="44">
        <v>100</v>
      </c>
      <c r="F80" s="890">
        <v>100</v>
      </c>
      <c r="G80" s="890">
        <v>90</v>
      </c>
      <c r="H80" s="44">
        <v>80</v>
      </c>
      <c r="I80" s="44">
        <v>90</v>
      </c>
      <c r="J80" s="43">
        <v>68</v>
      </c>
      <c r="K80" s="43" t="s">
        <v>59</v>
      </c>
      <c r="L80" s="43" t="s">
        <v>59</v>
      </c>
      <c r="M80" s="43" t="s">
        <v>59</v>
      </c>
      <c r="N80" s="43" t="s">
        <v>59</v>
      </c>
      <c r="O80" s="126"/>
      <c r="R80" s="126"/>
      <c r="S80" s="126"/>
    </row>
    <row r="81" spans="2:19" ht="15" thickBot="1">
      <c r="B81" s="84" t="s">
        <v>1194</v>
      </c>
      <c r="C81" s="1143">
        <v>1320</v>
      </c>
      <c r="D81" s="1140">
        <v>1290</v>
      </c>
      <c r="E81" s="44">
        <v>1290</v>
      </c>
      <c r="F81" s="890">
        <v>1180</v>
      </c>
      <c r="G81" s="890">
        <v>1100</v>
      </c>
      <c r="H81" s="44">
        <v>950</v>
      </c>
      <c r="I81" s="44">
        <v>940</v>
      </c>
      <c r="J81" s="43">
        <v>60</v>
      </c>
      <c r="K81" s="43" t="s">
        <v>59</v>
      </c>
      <c r="L81" s="43" t="s">
        <v>59</v>
      </c>
      <c r="M81" s="43" t="s">
        <v>59</v>
      </c>
      <c r="N81" s="43" t="s">
        <v>59</v>
      </c>
      <c r="O81" s="126"/>
      <c r="R81" s="126"/>
      <c r="S81" s="126"/>
    </row>
    <row r="82" spans="2:19" ht="15" thickBot="1">
      <c r="B82" s="84" t="s">
        <v>1199</v>
      </c>
      <c r="C82" s="1143">
        <v>50</v>
      </c>
      <c r="D82" s="1140">
        <v>40</v>
      </c>
      <c r="E82" s="44">
        <v>30</v>
      </c>
      <c r="F82" s="890">
        <v>30</v>
      </c>
      <c r="G82" s="890">
        <v>50</v>
      </c>
      <c r="H82" s="44">
        <v>30</v>
      </c>
      <c r="I82" s="44">
        <v>40</v>
      </c>
      <c r="J82" s="43">
        <v>32</v>
      </c>
      <c r="K82" s="43" t="s">
        <v>59</v>
      </c>
      <c r="L82" s="43" t="s">
        <v>59</v>
      </c>
      <c r="M82" s="43" t="s">
        <v>59</v>
      </c>
      <c r="N82" s="43" t="s">
        <v>59</v>
      </c>
      <c r="O82" s="126"/>
      <c r="R82" s="126"/>
      <c r="S82" s="126"/>
    </row>
    <row r="83" spans="2:19" ht="15" thickBot="1">
      <c r="B83" s="84" t="s">
        <v>273</v>
      </c>
      <c r="C83" s="1143">
        <v>20</v>
      </c>
      <c r="D83" s="1140">
        <v>20</v>
      </c>
      <c r="E83" s="44">
        <v>10</v>
      </c>
      <c r="F83" s="890">
        <v>20</v>
      </c>
      <c r="G83" s="890">
        <v>20</v>
      </c>
      <c r="H83" s="44">
        <v>20</v>
      </c>
      <c r="I83" s="44">
        <v>20</v>
      </c>
      <c r="J83" s="43">
        <v>32</v>
      </c>
      <c r="K83" s="43" t="s">
        <v>59</v>
      </c>
      <c r="L83" s="43" t="s">
        <v>59</v>
      </c>
      <c r="M83" s="43" t="s">
        <v>59</v>
      </c>
      <c r="N83" s="43" t="s">
        <v>59</v>
      </c>
      <c r="O83" s="126"/>
      <c r="R83" s="126"/>
      <c r="S83" s="126"/>
    </row>
    <row r="84" spans="2:19" ht="15" thickBot="1">
      <c r="B84" s="84" t="s">
        <v>274</v>
      </c>
      <c r="C84" s="1145" t="s">
        <v>59</v>
      </c>
      <c r="D84" s="1168" t="s">
        <v>59</v>
      </c>
      <c r="E84" s="44" t="s">
        <v>59</v>
      </c>
      <c r="F84" s="890" t="s">
        <v>59</v>
      </c>
      <c r="G84" s="890">
        <v>10</v>
      </c>
      <c r="H84" s="44" t="s">
        <v>59</v>
      </c>
      <c r="I84" s="44">
        <v>10</v>
      </c>
      <c r="J84" s="43">
        <v>28</v>
      </c>
      <c r="K84" s="43" t="s">
        <v>59</v>
      </c>
      <c r="L84" s="43" t="s">
        <v>59</v>
      </c>
      <c r="M84" s="43" t="s">
        <v>59</v>
      </c>
      <c r="N84" s="43" t="s">
        <v>59</v>
      </c>
      <c r="O84" s="126"/>
      <c r="R84" s="126"/>
      <c r="S84" s="126"/>
    </row>
    <row r="85" spans="2:19" ht="15" thickBot="1">
      <c r="B85" s="84" t="s">
        <v>408</v>
      </c>
      <c r="C85" s="1143">
        <v>960</v>
      </c>
      <c r="D85" s="1140">
        <v>1060</v>
      </c>
      <c r="E85" s="43">
        <v>1250</v>
      </c>
      <c r="F85" s="974">
        <v>1190</v>
      </c>
      <c r="G85" s="974">
        <v>1220</v>
      </c>
      <c r="H85" s="43">
        <v>1210</v>
      </c>
      <c r="I85" s="43">
        <v>1300</v>
      </c>
      <c r="J85" s="43">
        <v>1372</v>
      </c>
      <c r="K85" s="43" t="s">
        <v>59</v>
      </c>
      <c r="L85" s="43" t="s">
        <v>59</v>
      </c>
      <c r="M85" s="43" t="s">
        <v>59</v>
      </c>
      <c r="N85" s="43" t="s">
        <v>59</v>
      </c>
      <c r="O85" s="126"/>
      <c r="R85" s="126"/>
      <c r="S85" s="126"/>
    </row>
    <row r="86" spans="2:19" ht="15" thickBot="1">
      <c r="B86" s="84" t="s">
        <v>130</v>
      </c>
      <c r="C86" s="1143">
        <v>520</v>
      </c>
      <c r="D86" s="1140">
        <v>610</v>
      </c>
      <c r="E86" s="44">
        <v>740</v>
      </c>
      <c r="F86" s="890">
        <v>690</v>
      </c>
      <c r="G86" s="890">
        <v>570</v>
      </c>
      <c r="H86" s="44">
        <v>460</v>
      </c>
      <c r="I86" s="44">
        <v>470</v>
      </c>
      <c r="J86" s="44">
        <v>428</v>
      </c>
      <c r="K86" s="44">
        <v>409</v>
      </c>
      <c r="L86" s="44">
        <v>420</v>
      </c>
      <c r="M86" s="44">
        <v>340</v>
      </c>
      <c r="N86" s="44">
        <v>360</v>
      </c>
      <c r="O86" s="39"/>
      <c r="R86" s="39"/>
      <c r="S86" s="39"/>
    </row>
    <row r="87" spans="2:19" ht="15" thickBot="1">
      <c r="B87" s="84" t="s">
        <v>1200</v>
      </c>
      <c r="C87" s="1143">
        <v>290</v>
      </c>
      <c r="D87" s="1140">
        <v>290</v>
      </c>
      <c r="E87" s="44">
        <v>280</v>
      </c>
      <c r="F87" s="890">
        <v>310</v>
      </c>
      <c r="G87" s="890">
        <v>210</v>
      </c>
      <c r="H87" s="44">
        <v>190</v>
      </c>
      <c r="I87" s="44">
        <v>230</v>
      </c>
      <c r="J87" s="44">
        <v>215</v>
      </c>
      <c r="K87" s="44">
        <v>2346</v>
      </c>
      <c r="L87" s="44">
        <v>2384</v>
      </c>
      <c r="M87" s="44">
        <v>2370</v>
      </c>
      <c r="N87" s="44">
        <v>2550</v>
      </c>
      <c r="O87" s="39"/>
      <c r="R87" s="39"/>
      <c r="S87" s="39"/>
    </row>
    <row r="88" spans="2:19">
      <c r="B88" s="92" t="s">
        <v>1201</v>
      </c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</row>
    <row r="89" spans="2:19">
      <c r="B89" s="10" t="s">
        <v>2059</v>
      </c>
      <c r="C89" s="92"/>
      <c r="D89" s="92"/>
      <c r="E89" s="92"/>
      <c r="F89" s="92"/>
      <c r="G89" s="92"/>
      <c r="H89" s="92"/>
      <c r="I89" s="92"/>
      <c r="J89" s="92"/>
      <c r="K89" s="92"/>
      <c r="L89" s="92"/>
      <c r="M89" s="92"/>
      <c r="N89" s="92"/>
      <c r="O89" s="92"/>
      <c r="R89" s="102"/>
      <c r="S89" s="102"/>
    </row>
    <row r="90" spans="2:19">
      <c r="B90" s="92"/>
      <c r="C90" s="714"/>
      <c r="D90" s="714"/>
      <c r="E90" s="714"/>
      <c r="F90" s="714"/>
      <c r="G90" s="714"/>
      <c r="H90" s="714"/>
      <c r="I90" s="714"/>
      <c r="J90" s="714"/>
      <c r="K90" s="714"/>
      <c r="L90" s="714"/>
      <c r="M90" s="714"/>
      <c r="N90" s="714"/>
      <c r="O90" s="714"/>
      <c r="P90" s="714"/>
      <c r="Q90" s="714"/>
      <c r="R90" s="714"/>
      <c r="S90" s="714"/>
    </row>
    <row r="91" spans="2:19" ht="15.6">
      <c r="B91" s="83"/>
      <c r="C91" s="714"/>
      <c r="D91" s="714"/>
      <c r="E91" s="714"/>
      <c r="F91" s="714"/>
      <c r="G91" s="714"/>
      <c r="H91" s="714"/>
      <c r="I91" s="714"/>
      <c r="J91" s="714"/>
      <c r="K91" s="714"/>
      <c r="L91" s="714"/>
      <c r="M91" s="714"/>
      <c r="N91" s="714"/>
      <c r="O91" s="714"/>
      <c r="P91" s="714"/>
      <c r="Q91" s="714"/>
      <c r="R91" s="714"/>
      <c r="S91" s="714"/>
    </row>
    <row r="92" spans="2:19" ht="15.6">
      <c r="B92" s="83" t="s">
        <v>1202</v>
      </c>
      <c r="C92" s="93"/>
      <c r="D92" s="93"/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S92" s="102"/>
    </row>
    <row r="93" spans="2:19">
      <c r="B93" s="93" t="s">
        <v>46</v>
      </c>
      <c r="C93" s="93"/>
      <c r="D93" s="93"/>
      <c r="E93" s="93"/>
      <c r="F93" s="93"/>
      <c r="G93" s="93"/>
      <c r="H93" s="93"/>
      <c r="I93" s="93"/>
      <c r="J93" s="93"/>
      <c r="K93" s="93"/>
      <c r="L93" s="93"/>
      <c r="M93" s="93"/>
      <c r="N93" s="93"/>
      <c r="O93" s="93"/>
      <c r="S93" s="102"/>
    </row>
    <row r="94" spans="2:19">
      <c r="B94" s="38" t="s">
        <v>1203</v>
      </c>
      <c r="C94" s="115" t="s">
        <v>2060</v>
      </c>
      <c r="D94" s="115" t="s">
        <v>2061</v>
      </c>
      <c r="E94" s="115" t="s">
        <v>2062</v>
      </c>
      <c r="F94" s="115" t="s">
        <v>1831</v>
      </c>
      <c r="G94" s="115" t="s">
        <v>1626</v>
      </c>
      <c r="H94" s="115" t="s">
        <v>559</v>
      </c>
      <c r="I94" s="115" t="s">
        <v>550</v>
      </c>
      <c r="J94" s="115" t="s">
        <v>1104</v>
      </c>
      <c r="K94" s="115" t="s">
        <v>1105</v>
      </c>
      <c r="L94" s="115" t="s">
        <v>360</v>
      </c>
      <c r="M94" s="115" t="s">
        <v>560</v>
      </c>
      <c r="N94" s="94"/>
      <c r="O94" s="94"/>
      <c r="P94" s="40"/>
      <c r="Q94" s="94"/>
      <c r="R94" s="94"/>
    </row>
    <row r="95" spans="2:19" ht="15" thickBot="1">
      <c r="B95" s="84" t="s">
        <v>141</v>
      </c>
      <c r="C95" s="1143">
        <v>12910</v>
      </c>
      <c r="D95" s="1140">
        <v>13175</v>
      </c>
      <c r="E95" s="44">
        <v>13599</v>
      </c>
      <c r="F95" s="44">
        <v>13248</v>
      </c>
      <c r="G95" s="44">
        <v>12866</v>
      </c>
      <c r="H95" s="44">
        <v>13206</v>
      </c>
      <c r="I95" s="44">
        <v>12880</v>
      </c>
      <c r="J95" s="44">
        <v>12680</v>
      </c>
      <c r="K95" s="44">
        <v>12041</v>
      </c>
      <c r="L95" s="44">
        <v>11790</v>
      </c>
      <c r="M95" s="44">
        <v>10881</v>
      </c>
      <c r="N95" s="39"/>
      <c r="O95" s="39"/>
      <c r="P95" s="152"/>
      <c r="Q95" s="39"/>
      <c r="R95" s="39"/>
    </row>
    <row r="96" spans="2:19" ht="15" thickBot="1">
      <c r="B96" s="84" t="s">
        <v>1204</v>
      </c>
      <c r="C96" s="1143">
        <v>1413</v>
      </c>
      <c r="D96" s="1140">
        <v>1387</v>
      </c>
      <c r="E96" s="44">
        <v>1361</v>
      </c>
      <c r="F96" s="44">
        <v>1308</v>
      </c>
      <c r="G96" s="44">
        <v>1312</v>
      </c>
      <c r="H96" s="44">
        <v>1327</v>
      </c>
      <c r="I96" s="44">
        <v>1286</v>
      </c>
      <c r="J96" s="44">
        <v>1316</v>
      </c>
      <c r="K96" s="44">
        <v>1353</v>
      </c>
      <c r="L96" s="44">
        <v>1454</v>
      </c>
      <c r="M96" s="44">
        <v>1508</v>
      </c>
      <c r="N96" s="39"/>
      <c r="O96" s="39"/>
      <c r="P96" s="152"/>
      <c r="Q96" s="39"/>
      <c r="R96" s="39"/>
    </row>
    <row r="97" spans="2:20" ht="15" thickBot="1">
      <c r="B97" s="84" t="s">
        <v>274</v>
      </c>
      <c r="C97" s="1143">
        <v>1060</v>
      </c>
      <c r="D97" s="1140">
        <v>1067</v>
      </c>
      <c r="E97" s="44">
        <v>1129</v>
      </c>
      <c r="F97" s="44">
        <v>1284</v>
      </c>
      <c r="G97" s="44">
        <v>1244</v>
      </c>
      <c r="H97" s="44">
        <v>1233</v>
      </c>
      <c r="I97" s="44">
        <v>1233</v>
      </c>
      <c r="J97" s="44">
        <v>1233</v>
      </c>
      <c r="K97" s="44">
        <v>1307</v>
      </c>
      <c r="L97" s="44">
        <v>1300</v>
      </c>
      <c r="M97" s="44">
        <v>1351</v>
      </c>
      <c r="N97" s="39"/>
      <c r="O97" s="39"/>
      <c r="P97" s="152"/>
      <c r="Q97" s="39"/>
      <c r="R97" s="39"/>
    </row>
    <row r="98" spans="2:20" ht="15" thickBot="1">
      <c r="B98" s="84" t="s">
        <v>1205</v>
      </c>
      <c r="C98" s="1143">
        <v>287</v>
      </c>
      <c r="D98" s="1140">
        <v>313</v>
      </c>
      <c r="E98" s="44">
        <v>318</v>
      </c>
      <c r="F98" s="44">
        <v>289</v>
      </c>
      <c r="G98" s="44">
        <v>275</v>
      </c>
      <c r="H98" s="44">
        <v>287</v>
      </c>
      <c r="I98" s="44">
        <v>322</v>
      </c>
      <c r="J98" s="44">
        <v>352</v>
      </c>
      <c r="K98" s="44">
        <v>360</v>
      </c>
      <c r="L98" s="44">
        <v>395</v>
      </c>
      <c r="M98" s="44">
        <v>421</v>
      </c>
      <c r="N98" s="39"/>
      <c r="O98" s="39"/>
      <c r="P98" s="152"/>
      <c r="Q98" s="39"/>
      <c r="R98" s="39"/>
    </row>
    <row r="99" spans="2:20" ht="15" thickBot="1">
      <c r="B99" s="84" t="s">
        <v>214</v>
      </c>
      <c r="C99" s="1143">
        <v>165</v>
      </c>
      <c r="D99" s="1140">
        <v>148</v>
      </c>
      <c r="E99" s="44">
        <v>151</v>
      </c>
      <c r="F99" s="44">
        <v>176</v>
      </c>
      <c r="G99" s="44">
        <v>166</v>
      </c>
      <c r="H99" s="44">
        <v>161</v>
      </c>
      <c r="I99" s="44">
        <v>203</v>
      </c>
      <c r="J99" s="44">
        <v>210</v>
      </c>
      <c r="K99" s="44">
        <v>209</v>
      </c>
      <c r="L99" s="44">
        <v>234</v>
      </c>
      <c r="M99" s="44">
        <v>264</v>
      </c>
      <c r="N99" s="39"/>
      <c r="O99" s="39"/>
      <c r="P99" s="152"/>
      <c r="Q99" s="39"/>
      <c r="R99" s="39"/>
    </row>
    <row r="100" spans="2:20" ht="15" thickBot="1">
      <c r="B100" s="84" t="s">
        <v>1206</v>
      </c>
      <c r="C100" s="1143">
        <v>180</v>
      </c>
      <c r="D100" s="1140">
        <v>177</v>
      </c>
      <c r="E100" s="44">
        <v>186</v>
      </c>
      <c r="F100" s="44">
        <v>169</v>
      </c>
      <c r="G100" s="44">
        <v>159</v>
      </c>
      <c r="H100" s="44">
        <v>164</v>
      </c>
      <c r="I100" s="44">
        <v>170</v>
      </c>
      <c r="J100" s="44">
        <v>162</v>
      </c>
      <c r="K100" s="44">
        <v>159</v>
      </c>
      <c r="L100" s="44">
        <v>173</v>
      </c>
      <c r="M100" s="44">
        <v>168</v>
      </c>
      <c r="N100" s="39"/>
      <c r="O100" s="39"/>
      <c r="P100" s="152"/>
      <c r="Q100" s="39"/>
      <c r="R100" s="39"/>
    </row>
    <row r="101" spans="2:20" ht="15" thickBot="1">
      <c r="B101" s="84" t="s">
        <v>1207</v>
      </c>
      <c r="C101" s="1143">
        <v>327</v>
      </c>
      <c r="D101" s="1140">
        <v>355</v>
      </c>
      <c r="E101" s="44">
        <v>367</v>
      </c>
      <c r="F101" s="44">
        <v>339</v>
      </c>
      <c r="G101" s="44">
        <v>304</v>
      </c>
      <c r="H101" s="44">
        <v>298</v>
      </c>
      <c r="I101" s="44">
        <v>270</v>
      </c>
      <c r="J101" s="44">
        <v>239</v>
      </c>
      <c r="K101" s="44">
        <v>226</v>
      </c>
      <c r="L101" s="44">
        <v>228</v>
      </c>
      <c r="M101" s="44">
        <v>223</v>
      </c>
      <c r="N101" s="39"/>
      <c r="O101" s="39"/>
      <c r="P101" s="152"/>
      <c r="Q101" s="39"/>
      <c r="R101" s="39"/>
    </row>
    <row r="102" spans="2:20" ht="15" thickBot="1">
      <c r="B102" s="84" t="s">
        <v>1208</v>
      </c>
      <c r="C102" s="1143">
        <v>33</v>
      </c>
      <c r="D102" s="1140">
        <v>24</v>
      </c>
      <c r="E102" s="44">
        <v>23</v>
      </c>
      <c r="F102" s="44">
        <v>24</v>
      </c>
      <c r="G102" s="44">
        <v>21</v>
      </c>
      <c r="H102" s="44">
        <v>15</v>
      </c>
      <c r="I102" s="44">
        <v>20</v>
      </c>
      <c r="J102" s="44">
        <v>20</v>
      </c>
      <c r="K102" s="44">
        <v>20</v>
      </c>
      <c r="L102" s="44">
        <v>24</v>
      </c>
      <c r="M102" s="44">
        <v>32</v>
      </c>
      <c r="N102" s="39"/>
      <c r="O102" s="39"/>
      <c r="P102" s="152"/>
      <c r="Q102" s="39"/>
      <c r="R102" s="39"/>
    </row>
    <row r="103" spans="2:20" ht="15" thickBot="1">
      <c r="B103" s="84" t="s">
        <v>1209</v>
      </c>
      <c r="C103" s="1143">
        <v>18</v>
      </c>
      <c r="D103" s="1140">
        <v>19</v>
      </c>
      <c r="E103" s="44">
        <v>21</v>
      </c>
      <c r="F103" s="44">
        <v>20</v>
      </c>
      <c r="G103" s="44">
        <v>23</v>
      </c>
      <c r="H103" s="44">
        <v>22</v>
      </c>
      <c r="I103" s="44">
        <v>20</v>
      </c>
      <c r="J103" s="44">
        <v>21</v>
      </c>
      <c r="K103" s="44">
        <v>23</v>
      </c>
      <c r="L103" s="44">
        <v>24</v>
      </c>
      <c r="M103" s="44">
        <v>27</v>
      </c>
      <c r="N103" s="39"/>
      <c r="O103" s="39"/>
      <c r="P103" s="152"/>
      <c r="Q103" s="39"/>
      <c r="R103" s="39"/>
    </row>
    <row r="104" spans="2:20" ht="15" thickBot="1">
      <c r="B104" s="84" t="s">
        <v>1210</v>
      </c>
      <c r="C104" s="1143">
        <v>28</v>
      </c>
      <c r="D104" s="1140">
        <v>23</v>
      </c>
      <c r="E104" s="44">
        <v>21</v>
      </c>
      <c r="F104" s="44">
        <v>21</v>
      </c>
      <c r="G104" s="44">
        <v>19</v>
      </c>
      <c r="H104" s="44">
        <v>23</v>
      </c>
      <c r="I104" s="44">
        <v>21</v>
      </c>
      <c r="J104" s="44">
        <v>19</v>
      </c>
      <c r="K104" s="44">
        <v>18</v>
      </c>
      <c r="L104" s="44">
        <v>19</v>
      </c>
      <c r="M104" s="44">
        <v>21</v>
      </c>
      <c r="N104" s="39"/>
      <c r="O104" s="39"/>
      <c r="P104" s="152"/>
      <c r="Q104" s="39"/>
      <c r="R104" s="39"/>
    </row>
    <row r="105" spans="2:20" ht="15" thickBot="1">
      <c r="B105" s="84" t="s">
        <v>1211</v>
      </c>
      <c r="C105" s="1143">
        <v>15</v>
      </c>
      <c r="D105" s="1140">
        <v>15</v>
      </c>
      <c r="E105" s="44">
        <v>14</v>
      </c>
      <c r="F105" s="44">
        <v>14</v>
      </c>
      <c r="G105" s="44">
        <v>14</v>
      </c>
      <c r="H105" s="44">
        <v>14</v>
      </c>
      <c r="I105" s="44">
        <v>14</v>
      </c>
      <c r="J105" s="44">
        <v>13</v>
      </c>
      <c r="K105" s="44">
        <v>12</v>
      </c>
      <c r="L105" s="44">
        <v>13</v>
      </c>
      <c r="M105" s="44">
        <v>13</v>
      </c>
      <c r="N105" s="39"/>
      <c r="O105" s="39"/>
      <c r="P105" s="152"/>
      <c r="Q105" s="39"/>
      <c r="R105" s="39"/>
    </row>
    <row r="106" spans="2:20" ht="15" thickBot="1">
      <c r="B106" s="84" t="s">
        <v>1212</v>
      </c>
      <c r="C106" s="1143">
        <v>11</v>
      </c>
      <c r="D106" s="1140">
        <v>10</v>
      </c>
      <c r="E106" s="44">
        <v>11</v>
      </c>
      <c r="F106" s="44">
        <v>12</v>
      </c>
      <c r="G106" s="44">
        <v>11</v>
      </c>
      <c r="H106" s="44">
        <v>10</v>
      </c>
      <c r="I106" s="44">
        <v>10</v>
      </c>
      <c r="J106" s="44">
        <v>9</v>
      </c>
      <c r="K106" s="44">
        <v>8</v>
      </c>
      <c r="L106" s="44">
        <v>7</v>
      </c>
      <c r="M106" s="44">
        <v>6</v>
      </c>
      <c r="N106" s="39"/>
      <c r="O106" s="39"/>
      <c r="P106" s="152"/>
      <c r="Q106" s="39"/>
      <c r="R106" s="39"/>
    </row>
    <row r="107" spans="2:20">
      <c r="B107" s="97" t="s">
        <v>1213</v>
      </c>
      <c r="C107" s="1166">
        <v>16</v>
      </c>
      <c r="D107" s="1266">
        <v>10</v>
      </c>
      <c r="E107" s="109">
        <v>8</v>
      </c>
      <c r="F107" s="109">
        <v>8</v>
      </c>
      <c r="G107" s="109">
        <v>8</v>
      </c>
      <c r="H107" s="109">
        <v>8</v>
      </c>
      <c r="I107" s="109">
        <v>6</v>
      </c>
      <c r="J107" s="109">
        <v>6</v>
      </c>
      <c r="K107" s="109">
        <v>6</v>
      </c>
      <c r="L107" s="109">
        <v>6</v>
      </c>
      <c r="M107" s="109">
        <v>6</v>
      </c>
      <c r="N107" s="39"/>
      <c r="O107" s="39"/>
      <c r="P107" s="152"/>
      <c r="Q107" s="39"/>
      <c r="R107" s="39"/>
    </row>
    <row r="108" spans="2:20">
      <c r="B108" s="38" t="s">
        <v>3</v>
      </c>
      <c r="C108" s="1244">
        <v>16624</v>
      </c>
      <c r="D108" s="1244">
        <v>16889</v>
      </c>
      <c r="E108" s="110">
        <v>17363</v>
      </c>
      <c r="F108" s="110">
        <v>17029</v>
      </c>
      <c r="G108" s="110">
        <v>16540</v>
      </c>
      <c r="H108" s="110">
        <v>16887</v>
      </c>
      <c r="I108" s="110">
        <v>16454</v>
      </c>
      <c r="J108" s="110">
        <v>16281</v>
      </c>
      <c r="K108" s="110">
        <v>15742</v>
      </c>
      <c r="L108" s="110">
        <v>15667</v>
      </c>
      <c r="M108" s="110">
        <v>14921</v>
      </c>
      <c r="N108" s="972"/>
      <c r="O108" s="972"/>
      <c r="P108" s="40"/>
      <c r="Q108" s="972"/>
      <c r="R108" s="972"/>
    </row>
    <row r="109" spans="2:20">
      <c r="B109" s="40"/>
      <c r="C109" s="40"/>
      <c r="D109" s="40"/>
      <c r="E109" s="126"/>
      <c r="F109" s="126"/>
      <c r="G109" s="126"/>
      <c r="H109" s="126"/>
      <c r="I109" s="126"/>
      <c r="J109" s="126"/>
      <c r="K109" s="126"/>
      <c r="L109" s="126"/>
      <c r="M109" s="126"/>
      <c r="N109" s="126"/>
      <c r="O109" s="126"/>
      <c r="P109" s="126"/>
      <c r="Q109" s="126"/>
      <c r="R109" s="126"/>
      <c r="T109" s="40"/>
    </row>
    <row r="110" spans="2:20">
      <c r="B110" s="38" t="s">
        <v>1214</v>
      </c>
      <c r="C110" s="115" t="s">
        <v>2064</v>
      </c>
      <c r="D110" s="115" t="s">
        <v>2030</v>
      </c>
      <c r="E110" s="115">
        <v>2022</v>
      </c>
      <c r="F110" s="107">
        <v>2021</v>
      </c>
      <c r="G110" s="107">
        <v>2020</v>
      </c>
      <c r="H110" s="107">
        <v>2019</v>
      </c>
      <c r="I110" s="107">
        <v>2018</v>
      </c>
      <c r="J110" s="107">
        <v>2017</v>
      </c>
      <c r="K110" s="107">
        <v>2016</v>
      </c>
      <c r="L110" s="107">
        <v>2015</v>
      </c>
      <c r="M110" s="107">
        <v>2014</v>
      </c>
      <c r="N110" s="969"/>
      <c r="O110" s="20"/>
      <c r="Q110" s="969"/>
      <c r="R110" s="969"/>
    </row>
    <row r="111" spans="2:20" ht="15" thickBot="1">
      <c r="B111" s="36" t="s">
        <v>211</v>
      </c>
      <c r="C111" s="1143">
        <v>580</v>
      </c>
      <c r="D111" s="1140">
        <v>661</v>
      </c>
      <c r="E111" s="44">
        <v>716</v>
      </c>
      <c r="F111" s="44">
        <v>586</v>
      </c>
      <c r="G111" s="44">
        <v>528</v>
      </c>
      <c r="H111" s="44">
        <v>584</v>
      </c>
      <c r="I111" s="44">
        <v>637</v>
      </c>
      <c r="J111" s="44">
        <v>625</v>
      </c>
      <c r="K111" s="44">
        <v>629</v>
      </c>
      <c r="L111" s="44">
        <v>661</v>
      </c>
      <c r="M111" s="44">
        <v>636</v>
      </c>
      <c r="N111" s="39"/>
      <c r="O111" s="152"/>
      <c r="Q111" s="39"/>
      <c r="R111" s="39"/>
    </row>
    <row r="112" spans="2:20">
      <c r="B112" s="230" t="s">
        <v>114</v>
      </c>
      <c r="C112" s="1163">
        <v>4252</v>
      </c>
      <c r="D112" s="1267">
        <v>4383</v>
      </c>
      <c r="E112" s="109">
        <v>4471</v>
      </c>
      <c r="F112" s="109">
        <v>4168</v>
      </c>
      <c r="G112" s="109">
        <v>3763</v>
      </c>
      <c r="H112" s="109">
        <v>4273</v>
      </c>
      <c r="I112" s="109">
        <v>4439</v>
      </c>
      <c r="J112" s="109">
        <v>4532</v>
      </c>
      <c r="K112" s="109">
        <v>4299</v>
      </c>
      <c r="L112" s="109">
        <v>4233</v>
      </c>
      <c r="M112" s="109">
        <v>3895</v>
      </c>
      <c r="N112" s="39"/>
      <c r="O112" s="152"/>
      <c r="Q112" s="39"/>
      <c r="R112" s="39"/>
    </row>
    <row r="113" spans="2:19">
      <c r="B113" s="38" t="s">
        <v>1215</v>
      </c>
      <c r="C113" s="1244">
        <v>21456</v>
      </c>
      <c r="D113" s="1244">
        <v>21933</v>
      </c>
      <c r="E113" s="73">
        <v>22550</v>
      </c>
      <c r="F113" s="73">
        <v>21281</v>
      </c>
      <c r="G113" s="110">
        <v>21069</v>
      </c>
      <c r="H113" s="110">
        <v>21322</v>
      </c>
      <c r="I113" s="110">
        <v>21357</v>
      </c>
      <c r="J113" s="110">
        <v>20899</v>
      </c>
      <c r="K113" s="110">
        <v>20595</v>
      </c>
      <c r="L113" s="110">
        <v>19815</v>
      </c>
      <c r="M113" s="110">
        <v>18968</v>
      </c>
      <c r="N113" s="972"/>
      <c r="O113" s="40"/>
      <c r="Q113" s="972"/>
      <c r="R113" s="972"/>
    </row>
    <row r="114" spans="2:19">
      <c r="B114" s="92" t="s">
        <v>1201</v>
      </c>
      <c r="H114" s="23"/>
      <c r="I114" s="23"/>
      <c r="M114" s="92"/>
      <c r="N114" s="92"/>
      <c r="O114" s="92"/>
    </row>
    <row r="115" spans="2:19">
      <c r="B115" s="195" t="s">
        <v>2063</v>
      </c>
      <c r="P115" s="230"/>
    </row>
    <row r="116" spans="2:19" ht="15.6">
      <c r="B116" s="83"/>
      <c r="C116" s="83"/>
      <c r="D116" s="83"/>
      <c r="E116" s="83"/>
      <c r="F116" s="83"/>
      <c r="G116" s="83"/>
      <c r="H116" s="83"/>
      <c r="I116" s="83"/>
      <c r="J116" s="83"/>
      <c r="K116" s="83"/>
      <c r="L116" s="83"/>
      <c r="M116" s="83"/>
      <c r="N116" s="83"/>
      <c r="O116" s="83"/>
    </row>
    <row r="117" spans="2:19" ht="15.6">
      <c r="B117" s="83" t="s">
        <v>1216</v>
      </c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</row>
    <row r="118" spans="2:19" ht="15" customHeight="1">
      <c r="B118" s="93" t="s">
        <v>46</v>
      </c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</row>
    <row r="119" spans="2:19" ht="15" customHeight="1">
      <c r="B119" s="715"/>
      <c r="C119" s="115">
        <v>2024</v>
      </c>
      <c r="D119" s="115">
        <v>2023</v>
      </c>
      <c r="E119" s="115">
        <v>2022</v>
      </c>
      <c r="F119" s="115">
        <v>2021</v>
      </c>
      <c r="G119" s="115">
        <v>2020</v>
      </c>
      <c r="H119" s="115">
        <v>2019</v>
      </c>
      <c r="I119" s="115">
        <v>2018</v>
      </c>
      <c r="J119" s="115">
        <v>2017</v>
      </c>
      <c r="K119" s="115">
        <v>2016</v>
      </c>
      <c r="L119" s="115">
        <v>2015</v>
      </c>
      <c r="M119" s="115">
        <v>2014</v>
      </c>
      <c r="N119" s="94"/>
      <c r="O119" s="94"/>
      <c r="P119" s="94"/>
      <c r="R119" s="94"/>
      <c r="S119" s="94"/>
    </row>
    <row r="120" spans="2:19" ht="15" customHeight="1" thickBot="1">
      <c r="B120" s="49" t="s">
        <v>66</v>
      </c>
      <c r="C120" s="1144">
        <v>16020</v>
      </c>
      <c r="D120" s="1207">
        <v>16530</v>
      </c>
      <c r="E120" s="43">
        <v>17230</v>
      </c>
      <c r="F120" s="43">
        <v>17030</v>
      </c>
      <c r="G120" s="43">
        <v>16710</v>
      </c>
      <c r="H120" s="43">
        <v>16700</v>
      </c>
      <c r="I120" s="43">
        <v>16880</v>
      </c>
      <c r="J120" s="43">
        <v>16960</v>
      </c>
      <c r="K120" s="43">
        <v>17293</v>
      </c>
      <c r="L120" s="43">
        <v>17713</v>
      </c>
      <c r="M120" s="43">
        <v>17068</v>
      </c>
      <c r="N120" s="126"/>
      <c r="O120" s="126"/>
      <c r="P120" s="40"/>
      <c r="R120" s="126"/>
      <c r="S120" s="126"/>
    </row>
    <row r="121" spans="2:19" ht="15" customHeight="1" thickBot="1">
      <c r="B121" s="84" t="s">
        <v>70</v>
      </c>
      <c r="C121" s="1143">
        <f>C122+C123+C124+C125+C126+C127+C128+C129</f>
        <v>14570</v>
      </c>
      <c r="D121" s="1140">
        <f>D122+D123+D124+D125+D126+D127+D128+D129</f>
        <v>15010</v>
      </c>
      <c r="E121" s="44">
        <f>E122+E123+E124+E125+E126+E127+E128+E129</f>
        <v>15500</v>
      </c>
      <c r="F121" s="44">
        <v>15390</v>
      </c>
      <c r="G121" s="44">
        <v>15220</v>
      </c>
      <c r="H121" s="44">
        <v>15230</v>
      </c>
      <c r="I121" s="44">
        <v>15430</v>
      </c>
      <c r="J121" s="44">
        <v>15422</v>
      </c>
      <c r="K121" s="44">
        <v>15563</v>
      </c>
      <c r="L121" s="44">
        <v>15984</v>
      </c>
      <c r="M121" s="44">
        <v>15663</v>
      </c>
      <c r="N121" s="39"/>
      <c r="O121" s="39"/>
      <c r="P121" s="152"/>
      <c r="R121" s="39"/>
      <c r="S121" s="39"/>
    </row>
    <row r="122" spans="2:19" ht="15" customHeight="1" thickBot="1">
      <c r="B122" s="36" t="s">
        <v>1217</v>
      </c>
      <c r="C122" s="1143">
        <v>2840</v>
      </c>
      <c r="D122" s="1140">
        <v>2930</v>
      </c>
      <c r="E122" s="44">
        <v>3050</v>
      </c>
      <c r="F122" s="44">
        <v>2980</v>
      </c>
      <c r="G122" s="44">
        <v>2720</v>
      </c>
      <c r="H122" s="44">
        <v>2620</v>
      </c>
      <c r="I122" s="44">
        <v>2690</v>
      </c>
      <c r="J122" s="44">
        <v>2758</v>
      </c>
      <c r="K122" s="44">
        <v>2879</v>
      </c>
      <c r="L122" s="44">
        <v>2880</v>
      </c>
      <c r="M122" s="44">
        <v>2506</v>
      </c>
      <c r="N122" s="39"/>
      <c r="O122" s="39"/>
      <c r="P122" s="230"/>
      <c r="R122" s="39"/>
      <c r="S122" s="39"/>
    </row>
    <row r="123" spans="2:19" ht="15" customHeight="1" thickBot="1">
      <c r="B123" s="36" t="s">
        <v>73</v>
      </c>
      <c r="C123" s="1143">
        <v>4990</v>
      </c>
      <c r="D123" s="1140">
        <v>4970</v>
      </c>
      <c r="E123" s="44">
        <v>4900</v>
      </c>
      <c r="F123" s="44">
        <v>4770</v>
      </c>
      <c r="G123" s="44">
        <v>4750</v>
      </c>
      <c r="H123" s="44">
        <v>4680</v>
      </c>
      <c r="I123" s="44">
        <v>4700</v>
      </c>
      <c r="J123" s="44">
        <v>4583</v>
      </c>
      <c r="K123" s="44">
        <v>4535</v>
      </c>
      <c r="L123" s="44">
        <v>4666</v>
      </c>
      <c r="M123" s="44">
        <v>4593</v>
      </c>
      <c r="N123" s="39"/>
      <c r="O123" s="39"/>
      <c r="P123" s="230"/>
      <c r="R123" s="39"/>
      <c r="S123" s="39"/>
    </row>
    <row r="124" spans="2:19" ht="15" customHeight="1" thickBot="1">
      <c r="B124" s="36" t="s">
        <v>74</v>
      </c>
      <c r="C124" s="1143">
        <v>1270</v>
      </c>
      <c r="D124" s="1140">
        <v>1360</v>
      </c>
      <c r="E124" s="44">
        <v>1540</v>
      </c>
      <c r="F124" s="44">
        <v>1610</v>
      </c>
      <c r="G124" s="44">
        <v>1580</v>
      </c>
      <c r="H124" s="44">
        <v>1630</v>
      </c>
      <c r="I124" s="44">
        <v>1630</v>
      </c>
      <c r="J124" s="44">
        <v>1608</v>
      </c>
      <c r="K124" s="44">
        <v>1639</v>
      </c>
      <c r="L124" s="44">
        <v>1662</v>
      </c>
      <c r="M124" s="44">
        <v>1671</v>
      </c>
      <c r="N124" s="39"/>
      <c r="O124" s="39"/>
      <c r="P124" s="230"/>
      <c r="R124" s="39"/>
      <c r="S124" s="39"/>
    </row>
    <row r="125" spans="2:19" ht="15" customHeight="1" thickBot="1">
      <c r="B125" s="36" t="s">
        <v>286</v>
      </c>
      <c r="C125" s="1143">
        <v>280</v>
      </c>
      <c r="D125" s="1140">
        <v>290</v>
      </c>
      <c r="E125" s="44">
        <v>320</v>
      </c>
      <c r="F125" s="44">
        <v>320</v>
      </c>
      <c r="G125" s="44">
        <v>320</v>
      </c>
      <c r="H125" s="44">
        <v>320</v>
      </c>
      <c r="I125" s="44">
        <v>350</v>
      </c>
      <c r="J125" s="44">
        <v>360</v>
      </c>
      <c r="K125" s="44">
        <v>422</v>
      </c>
      <c r="L125" s="44">
        <v>444</v>
      </c>
      <c r="M125" s="44">
        <v>462</v>
      </c>
      <c r="N125" s="39"/>
      <c r="O125" s="39"/>
      <c r="P125" s="230"/>
      <c r="R125" s="39"/>
      <c r="S125" s="39"/>
    </row>
    <row r="126" spans="2:19" ht="15" customHeight="1" thickBot="1">
      <c r="B126" s="36" t="s">
        <v>1218</v>
      </c>
      <c r="C126" s="1143">
        <v>2520</v>
      </c>
      <c r="D126" s="1140">
        <v>2700</v>
      </c>
      <c r="E126" s="44">
        <v>2930</v>
      </c>
      <c r="F126" s="44">
        <v>2990</v>
      </c>
      <c r="G126" s="44">
        <v>3130</v>
      </c>
      <c r="H126" s="44">
        <v>3280</v>
      </c>
      <c r="I126" s="44">
        <v>3230</v>
      </c>
      <c r="J126" s="44">
        <v>3151</v>
      </c>
      <c r="K126" s="44">
        <v>3055</v>
      </c>
      <c r="L126" s="44">
        <v>3047</v>
      </c>
      <c r="M126" s="44">
        <v>3113</v>
      </c>
      <c r="N126" s="39"/>
      <c r="O126" s="39"/>
      <c r="P126" s="230"/>
      <c r="R126" s="39"/>
      <c r="S126" s="39"/>
    </row>
    <row r="127" spans="2:19" ht="15" customHeight="1" thickBot="1">
      <c r="B127" s="36" t="s">
        <v>1219</v>
      </c>
      <c r="C127" s="1143">
        <v>1970</v>
      </c>
      <c r="D127" s="1140">
        <v>1980</v>
      </c>
      <c r="E127" s="44">
        <v>1900</v>
      </c>
      <c r="F127" s="44">
        <v>1850</v>
      </c>
      <c r="G127" s="44">
        <v>1790</v>
      </c>
      <c r="H127" s="44">
        <v>1660</v>
      </c>
      <c r="I127" s="44">
        <v>1620</v>
      </c>
      <c r="J127" s="44">
        <v>1679</v>
      </c>
      <c r="K127" s="44">
        <v>1624</v>
      </c>
      <c r="L127" s="44">
        <v>1690</v>
      </c>
      <c r="M127" s="44">
        <v>1603</v>
      </c>
      <c r="N127" s="39"/>
      <c r="O127" s="39"/>
      <c r="P127" s="230"/>
      <c r="R127" s="39"/>
      <c r="S127" s="39"/>
    </row>
    <row r="128" spans="2:19" ht="15" customHeight="1" thickBot="1">
      <c r="B128" s="36" t="s">
        <v>1220</v>
      </c>
      <c r="C128" s="1143">
        <v>490</v>
      </c>
      <c r="D128" s="1140">
        <v>540</v>
      </c>
      <c r="E128" s="44">
        <v>610</v>
      </c>
      <c r="F128" s="44">
        <v>630</v>
      </c>
      <c r="G128" s="44">
        <v>690</v>
      </c>
      <c r="H128" s="44">
        <v>820</v>
      </c>
      <c r="I128" s="44">
        <v>980</v>
      </c>
      <c r="J128" s="44">
        <v>1046</v>
      </c>
      <c r="K128" s="44">
        <v>1159</v>
      </c>
      <c r="L128" s="44">
        <v>1358</v>
      </c>
      <c r="M128" s="44">
        <v>1544</v>
      </c>
      <c r="N128" s="39"/>
      <c r="O128" s="39"/>
      <c r="P128" s="230"/>
      <c r="R128" s="39"/>
      <c r="S128" s="39"/>
    </row>
    <row r="129" spans="2:19" ht="15" customHeight="1" thickBot="1">
      <c r="B129" s="36" t="s">
        <v>973</v>
      </c>
      <c r="C129" s="1143">
        <v>210</v>
      </c>
      <c r="D129" s="1140">
        <v>240</v>
      </c>
      <c r="E129" s="44">
        <v>250</v>
      </c>
      <c r="F129" s="44">
        <v>240</v>
      </c>
      <c r="G129" s="44">
        <v>240</v>
      </c>
      <c r="H129" s="44">
        <v>220</v>
      </c>
      <c r="I129" s="44">
        <v>230</v>
      </c>
      <c r="J129" s="44">
        <v>237</v>
      </c>
      <c r="K129" s="44">
        <v>250</v>
      </c>
      <c r="L129" s="44">
        <v>239</v>
      </c>
      <c r="M129" s="44">
        <v>171</v>
      </c>
      <c r="N129" s="39"/>
      <c r="O129" s="39"/>
      <c r="P129" s="230"/>
      <c r="R129" s="39"/>
      <c r="S129" s="39"/>
    </row>
    <row r="130" spans="2:19" ht="15" customHeight="1" thickBot="1">
      <c r="B130" s="84" t="s">
        <v>1221</v>
      </c>
      <c r="C130" s="1143">
        <v>1460</v>
      </c>
      <c r="D130" s="1140">
        <v>1510</v>
      </c>
      <c r="E130" s="44">
        <v>1730</v>
      </c>
      <c r="F130" s="44">
        <v>1620</v>
      </c>
      <c r="G130" s="44">
        <v>1500</v>
      </c>
      <c r="H130" s="44">
        <v>1450</v>
      </c>
      <c r="I130" s="44">
        <v>1440</v>
      </c>
      <c r="J130" s="44">
        <v>1538</v>
      </c>
      <c r="K130" s="44">
        <v>1730</v>
      </c>
      <c r="L130" s="44">
        <v>1729</v>
      </c>
      <c r="M130" s="44">
        <v>1405</v>
      </c>
      <c r="N130" s="39"/>
      <c r="O130" s="39"/>
      <c r="P130" s="152"/>
      <c r="R130" s="39"/>
      <c r="S130" s="39"/>
    </row>
    <row r="131" spans="2:19" ht="15" customHeight="1" thickBot="1">
      <c r="B131" s="84" t="s">
        <v>1038</v>
      </c>
      <c r="C131" s="1145" t="s">
        <v>59</v>
      </c>
      <c r="D131" s="1168" t="s">
        <v>59</v>
      </c>
      <c r="E131" s="43" t="s">
        <v>59</v>
      </c>
      <c r="F131" s="43" t="s">
        <v>59</v>
      </c>
      <c r="G131" s="43" t="s">
        <v>59</v>
      </c>
      <c r="H131" s="43" t="s">
        <v>59</v>
      </c>
      <c r="I131" s="43" t="s">
        <v>59</v>
      </c>
      <c r="J131" s="44" t="s">
        <v>59</v>
      </c>
      <c r="K131" s="44" t="s">
        <v>59</v>
      </c>
      <c r="L131" s="44" t="s">
        <v>59</v>
      </c>
      <c r="M131" s="44" t="s">
        <v>59</v>
      </c>
      <c r="N131" s="39"/>
      <c r="O131" s="39"/>
      <c r="P131" s="152"/>
      <c r="R131" s="39"/>
      <c r="S131" s="39"/>
    </row>
    <row r="132" spans="2:19" ht="15" customHeight="1">
      <c r="B132" s="217" t="s">
        <v>75</v>
      </c>
      <c r="C132" s="1250">
        <v>460</v>
      </c>
      <c r="D132" s="1422">
        <v>510</v>
      </c>
      <c r="E132" s="304">
        <v>560</v>
      </c>
      <c r="F132" s="304">
        <v>570</v>
      </c>
      <c r="G132" s="304">
        <v>470</v>
      </c>
      <c r="H132" s="304">
        <v>490</v>
      </c>
      <c r="I132" s="304">
        <v>380</v>
      </c>
      <c r="J132" s="304">
        <v>401</v>
      </c>
      <c r="K132" s="304">
        <v>459</v>
      </c>
      <c r="L132" s="304">
        <v>473</v>
      </c>
      <c r="M132" s="304">
        <v>470</v>
      </c>
      <c r="N132" s="126"/>
      <c r="O132" s="126"/>
      <c r="P132" s="40"/>
      <c r="R132" s="126"/>
      <c r="S132" s="126"/>
    </row>
    <row r="133" spans="2:19" ht="26.25" customHeight="1">
      <c r="B133" s="38" t="s">
        <v>1222</v>
      </c>
      <c r="C133" s="1206">
        <f>C120+C132</f>
        <v>16480</v>
      </c>
      <c r="D133" s="1206">
        <f>D120+D132</f>
        <v>17040</v>
      </c>
      <c r="E133" s="73">
        <f>E120+E132</f>
        <v>17790</v>
      </c>
      <c r="F133" s="73">
        <f>F120+F132</f>
        <v>17600</v>
      </c>
      <c r="G133" s="73">
        <v>17180</v>
      </c>
      <c r="H133" s="73">
        <v>17190</v>
      </c>
      <c r="I133" s="73">
        <v>17250</v>
      </c>
      <c r="J133" s="73">
        <v>17361</v>
      </c>
      <c r="K133" s="73">
        <v>17752</v>
      </c>
      <c r="L133" s="73">
        <v>18186</v>
      </c>
      <c r="M133" s="73">
        <v>17538</v>
      </c>
      <c r="N133" s="126"/>
      <c r="O133" s="126"/>
      <c r="P133" s="40"/>
      <c r="R133" s="126"/>
      <c r="S133" s="126"/>
    </row>
    <row r="134" spans="2:19">
      <c r="B134" s="10" t="s">
        <v>2059</v>
      </c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</row>
    <row r="135" spans="2:19">
      <c r="C135" s="92"/>
      <c r="D135" s="92"/>
      <c r="E135" s="92"/>
      <c r="F135" s="92"/>
      <c r="G135" s="92"/>
      <c r="H135" s="92"/>
      <c r="I135" s="92"/>
      <c r="J135" s="92"/>
      <c r="K135" s="92"/>
      <c r="L135" s="92"/>
      <c r="M135" s="92"/>
      <c r="O135" s="716"/>
      <c r="P135" s="716"/>
      <c r="Q135" s="92"/>
    </row>
    <row r="136" spans="2:19">
      <c r="B136" s="713"/>
      <c r="C136" s="713"/>
      <c r="D136" s="713"/>
      <c r="E136" s="713"/>
      <c r="F136" s="713"/>
      <c r="G136" s="713"/>
      <c r="H136" s="592"/>
      <c r="I136" s="592"/>
      <c r="J136" s="592"/>
      <c r="K136" s="592"/>
      <c r="L136" s="592"/>
      <c r="M136" s="592"/>
      <c r="N136" s="92"/>
      <c r="O136" s="92"/>
    </row>
    <row r="137" spans="2:19">
      <c r="B137" s="713"/>
      <c r="C137" s="713"/>
      <c r="D137" s="713"/>
      <c r="E137" s="713"/>
      <c r="F137" s="713"/>
      <c r="G137" s="713"/>
      <c r="H137" s="23"/>
      <c r="I137" s="23"/>
      <c r="J137" s="23"/>
      <c r="K137" s="23"/>
      <c r="L137" s="23"/>
      <c r="M137" s="23"/>
      <c r="N137" s="92"/>
    </row>
    <row r="138" spans="2:19" ht="15.6">
      <c r="B138" s="83" t="s">
        <v>1223</v>
      </c>
    </row>
    <row r="139" spans="2:19">
      <c r="B139" s="93" t="s">
        <v>77</v>
      </c>
    </row>
    <row r="140" spans="2:19">
      <c r="B140" s="115"/>
      <c r="C140" s="115">
        <v>2024</v>
      </c>
      <c r="D140" s="115">
        <v>2023</v>
      </c>
      <c r="E140" s="115">
        <v>2022</v>
      </c>
      <c r="F140" s="115">
        <v>2021</v>
      </c>
      <c r="G140" s="115">
        <v>2020</v>
      </c>
      <c r="H140" s="115">
        <v>2019</v>
      </c>
      <c r="I140" s="115">
        <v>2018</v>
      </c>
      <c r="J140" s="115">
        <v>2017</v>
      </c>
      <c r="K140" s="115">
        <v>2016</v>
      </c>
      <c r="L140" s="115">
        <v>2015</v>
      </c>
      <c r="M140" s="115">
        <v>2014</v>
      </c>
      <c r="N140" s="94"/>
      <c r="O140" s="94"/>
      <c r="R140" s="94"/>
    </row>
    <row r="141" spans="2:19" ht="15" thickBot="1">
      <c r="B141" s="717" t="s">
        <v>50</v>
      </c>
      <c r="C141" s="1248"/>
      <c r="D141" s="717"/>
      <c r="E141" s="44"/>
      <c r="F141" s="44"/>
      <c r="G141" s="44"/>
      <c r="H141" s="44"/>
      <c r="I141" s="44"/>
      <c r="J141" s="44"/>
      <c r="K141" s="44"/>
      <c r="L141" s="44"/>
      <c r="M141" s="44"/>
      <c r="N141" s="39"/>
      <c r="O141" s="39"/>
      <c r="R141" s="39"/>
    </row>
    <row r="142" spans="2:19" ht="15" thickBot="1">
      <c r="B142" s="718" t="s">
        <v>64</v>
      </c>
      <c r="C142" s="22">
        <v>130</v>
      </c>
      <c r="D142" s="44">
        <v>140</v>
      </c>
      <c r="E142" s="44">
        <v>140</v>
      </c>
      <c r="F142" s="44">
        <v>260</v>
      </c>
      <c r="G142" s="44">
        <v>250</v>
      </c>
      <c r="H142" s="44">
        <v>220</v>
      </c>
      <c r="I142" s="44">
        <v>210</v>
      </c>
      <c r="J142" s="44">
        <v>255</v>
      </c>
      <c r="K142" s="44">
        <v>266</v>
      </c>
      <c r="L142" s="44">
        <v>290</v>
      </c>
      <c r="M142" s="44">
        <v>351</v>
      </c>
      <c r="N142" s="39"/>
      <c r="O142" s="39"/>
      <c r="R142" s="39"/>
    </row>
    <row r="143" spans="2:19" ht="15" thickBot="1">
      <c r="B143" s="719" t="s">
        <v>1224</v>
      </c>
      <c r="C143" s="22">
        <v>270</v>
      </c>
      <c r="D143" s="44">
        <v>290</v>
      </c>
      <c r="E143" s="44">
        <v>280</v>
      </c>
      <c r="F143" s="44">
        <v>270</v>
      </c>
      <c r="G143" s="44">
        <v>240</v>
      </c>
      <c r="H143" s="44">
        <v>220</v>
      </c>
      <c r="I143" s="44">
        <v>200</v>
      </c>
      <c r="J143" s="44">
        <v>219</v>
      </c>
      <c r="K143" s="719">
        <v>241</v>
      </c>
      <c r="L143" s="719">
        <v>255</v>
      </c>
      <c r="M143" s="719">
        <v>275</v>
      </c>
      <c r="N143" s="206"/>
      <c r="O143" s="206"/>
      <c r="R143" s="206"/>
    </row>
    <row r="144" spans="2:19" ht="15" thickBot="1">
      <c r="B144" s="718" t="s">
        <v>995</v>
      </c>
      <c r="C144" s="22">
        <v>460</v>
      </c>
      <c r="D144" s="44">
        <v>480</v>
      </c>
      <c r="E144" s="44">
        <v>480</v>
      </c>
      <c r="F144" s="44">
        <v>400</v>
      </c>
      <c r="G144" s="44">
        <v>410</v>
      </c>
      <c r="H144" s="44">
        <v>420</v>
      </c>
      <c r="I144" s="44">
        <v>380</v>
      </c>
      <c r="J144" s="719">
        <v>379</v>
      </c>
      <c r="K144" s="44">
        <v>393</v>
      </c>
      <c r="L144" s="44">
        <v>411</v>
      </c>
      <c r="M144" s="44">
        <v>420</v>
      </c>
      <c r="N144" s="39"/>
      <c r="O144" s="39"/>
      <c r="R144" s="39"/>
    </row>
    <row r="145" spans="2:18" ht="15" thickBot="1">
      <c r="B145" s="718" t="s">
        <v>53</v>
      </c>
      <c r="C145" s="22">
        <v>850</v>
      </c>
      <c r="D145" s="44">
        <v>890</v>
      </c>
      <c r="E145" s="44">
        <v>940</v>
      </c>
      <c r="F145" s="44">
        <v>1030</v>
      </c>
      <c r="G145" s="44">
        <v>1010</v>
      </c>
      <c r="H145" s="44">
        <v>960</v>
      </c>
      <c r="I145" s="44">
        <v>830</v>
      </c>
      <c r="J145" s="44">
        <v>933</v>
      </c>
      <c r="K145" s="44">
        <v>1028</v>
      </c>
      <c r="L145" s="44">
        <v>1132</v>
      </c>
      <c r="M145" s="44">
        <v>1217</v>
      </c>
      <c r="N145" s="39"/>
      <c r="O145" s="39"/>
      <c r="R145" s="39"/>
    </row>
    <row r="146" spans="2:18" ht="15" thickBot="1">
      <c r="B146" s="718" t="s">
        <v>1225</v>
      </c>
      <c r="C146" s="22">
        <v>80</v>
      </c>
      <c r="D146" s="44">
        <v>90</v>
      </c>
      <c r="E146" s="44">
        <v>90</v>
      </c>
      <c r="F146" s="44">
        <v>110</v>
      </c>
      <c r="G146" s="44">
        <v>130</v>
      </c>
      <c r="H146" s="44">
        <v>130</v>
      </c>
      <c r="I146" s="44">
        <v>140</v>
      </c>
      <c r="J146" s="44">
        <v>165</v>
      </c>
      <c r="K146" s="44">
        <v>197</v>
      </c>
      <c r="L146" s="44">
        <v>225</v>
      </c>
      <c r="M146" s="44">
        <v>304</v>
      </c>
      <c r="N146" s="39"/>
      <c r="O146" s="39"/>
      <c r="R146" s="39"/>
    </row>
    <row r="147" spans="2:18" ht="15" thickBot="1">
      <c r="B147" s="720" t="s">
        <v>1226</v>
      </c>
      <c r="C147" s="1249">
        <v>50</v>
      </c>
      <c r="D147" s="282">
        <v>60</v>
      </c>
      <c r="E147" s="44">
        <v>80</v>
      </c>
      <c r="F147" s="44">
        <v>110</v>
      </c>
      <c r="G147" s="44">
        <v>110</v>
      </c>
      <c r="H147" s="44">
        <v>110</v>
      </c>
      <c r="I147" s="44">
        <v>100</v>
      </c>
      <c r="J147" s="44">
        <v>101</v>
      </c>
      <c r="K147" s="282">
        <v>124</v>
      </c>
      <c r="L147" s="282">
        <v>180</v>
      </c>
      <c r="M147" s="282">
        <v>160</v>
      </c>
      <c r="N147" s="973"/>
      <c r="O147" s="973"/>
      <c r="R147" s="973"/>
    </row>
    <row r="148" spans="2:18" ht="15" thickBot="1">
      <c r="B148" s="717" t="s">
        <v>51</v>
      </c>
      <c r="C148" s="42"/>
      <c r="D148" s="43"/>
      <c r="E148" s="43"/>
      <c r="F148" s="43"/>
      <c r="G148" s="43"/>
      <c r="H148" s="43"/>
      <c r="I148" s="43"/>
      <c r="J148" s="282"/>
      <c r="K148" s="44"/>
      <c r="L148" s="44"/>
      <c r="M148" s="44"/>
      <c r="N148" s="39"/>
      <c r="O148" s="39"/>
      <c r="R148" s="39"/>
    </row>
    <row r="149" spans="2:18" ht="15" thickBot="1">
      <c r="B149" s="288" t="s">
        <v>53</v>
      </c>
      <c r="C149" s="22">
        <v>840</v>
      </c>
      <c r="D149" s="44">
        <v>860</v>
      </c>
      <c r="E149" s="44">
        <v>890</v>
      </c>
      <c r="F149" s="44">
        <v>880</v>
      </c>
      <c r="G149" s="44">
        <v>880</v>
      </c>
      <c r="H149" s="44">
        <v>840</v>
      </c>
      <c r="I149" s="44">
        <v>810</v>
      </c>
      <c r="J149" s="44">
        <v>830</v>
      </c>
      <c r="K149" s="44" t="s">
        <v>59</v>
      </c>
      <c r="L149" s="44" t="s">
        <v>59</v>
      </c>
      <c r="M149" s="44" t="s">
        <v>59</v>
      </c>
      <c r="N149" s="39"/>
      <c r="O149" s="39"/>
      <c r="R149" s="39"/>
    </row>
    <row r="150" spans="2:18" ht="15" thickBot="1">
      <c r="B150" s="288" t="s">
        <v>130</v>
      </c>
      <c r="C150" s="22">
        <v>230</v>
      </c>
      <c r="D150" s="44">
        <v>240</v>
      </c>
      <c r="E150" s="44">
        <v>230</v>
      </c>
      <c r="F150" s="44">
        <v>220</v>
      </c>
      <c r="G150" s="44">
        <v>180</v>
      </c>
      <c r="H150" s="44">
        <v>170</v>
      </c>
      <c r="I150" s="44">
        <v>150</v>
      </c>
      <c r="J150" s="44">
        <v>146</v>
      </c>
      <c r="K150" s="288">
        <v>148</v>
      </c>
      <c r="L150" s="288">
        <v>169</v>
      </c>
      <c r="M150" s="288">
        <v>126</v>
      </c>
      <c r="N150" s="206"/>
      <c r="O150" s="206"/>
      <c r="R150" s="206"/>
    </row>
    <row r="151" spans="2:18" ht="15" thickBot="1">
      <c r="B151" s="721" t="s">
        <v>1225</v>
      </c>
      <c r="C151" s="275">
        <v>120</v>
      </c>
      <c r="D151" s="75">
        <v>130</v>
      </c>
      <c r="E151" s="75">
        <v>130</v>
      </c>
      <c r="F151" s="75">
        <v>120</v>
      </c>
      <c r="G151" s="75">
        <v>110</v>
      </c>
      <c r="H151" s="75">
        <v>110</v>
      </c>
      <c r="I151" s="75">
        <v>110</v>
      </c>
      <c r="J151" s="721">
        <v>100</v>
      </c>
      <c r="K151" s="721">
        <v>920</v>
      </c>
      <c r="L151" s="721">
        <v>1000</v>
      </c>
      <c r="M151" s="721">
        <v>1130</v>
      </c>
      <c r="N151" s="206"/>
      <c r="O151" s="206"/>
      <c r="R151" s="206"/>
    </row>
    <row r="152" spans="2:18">
      <c r="B152" s="10" t="s">
        <v>2059</v>
      </c>
      <c r="C152" s="23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</row>
    <row r="153" spans="2:18">
      <c r="C153" s="722"/>
      <c r="D153" s="722"/>
      <c r="E153" s="722"/>
      <c r="F153" s="722"/>
      <c r="G153" s="722"/>
      <c r="H153" s="722"/>
      <c r="I153" s="722"/>
      <c r="J153" s="722"/>
      <c r="K153" s="722"/>
      <c r="L153" s="722"/>
      <c r="M153" s="714"/>
      <c r="N153" s="714"/>
      <c r="O153" s="714"/>
      <c r="P153" s="714"/>
      <c r="Q153" s="714"/>
    </row>
    <row r="154" spans="2:18">
      <c r="B154" s="92"/>
    </row>
    <row r="155" spans="2:18" ht="15.6">
      <c r="B155" s="83" t="s">
        <v>1227</v>
      </c>
    </row>
    <row r="156" spans="2:18">
      <c r="B156" s="93" t="s">
        <v>2</v>
      </c>
    </row>
    <row r="157" spans="2:18">
      <c r="B157" s="115"/>
      <c r="C157" s="115">
        <v>2024</v>
      </c>
      <c r="D157" s="115">
        <v>2023</v>
      </c>
      <c r="E157" s="115">
        <v>2022</v>
      </c>
      <c r="F157" s="115">
        <v>2021</v>
      </c>
      <c r="G157" s="115">
        <v>2020</v>
      </c>
      <c r="H157" s="115">
        <v>2019</v>
      </c>
      <c r="I157" s="115">
        <v>2018</v>
      </c>
      <c r="J157" s="115">
        <v>2017</v>
      </c>
      <c r="K157" s="115">
        <v>2016</v>
      </c>
      <c r="L157" s="115">
        <v>2015</v>
      </c>
      <c r="M157" s="115">
        <v>2014</v>
      </c>
      <c r="N157" s="94"/>
      <c r="O157" s="94"/>
      <c r="R157" s="94"/>
    </row>
    <row r="158" spans="2:18" ht="15" thickBot="1">
      <c r="B158" s="717" t="s">
        <v>50</v>
      </c>
      <c r="C158" s="1248"/>
      <c r="D158" s="717"/>
      <c r="E158" s="43"/>
      <c r="F158" s="43"/>
      <c r="G158" s="43"/>
      <c r="H158" s="43"/>
      <c r="I158" s="43"/>
      <c r="J158" s="44"/>
      <c r="K158" s="44"/>
      <c r="L158" s="44"/>
      <c r="M158" s="44"/>
      <c r="N158" s="39"/>
      <c r="O158" s="39"/>
      <c r="R158" s="39"/>
    </row>
    <row r="159" spans="2:18" ht="21" thickBot="1">
      <c r="B159" s="718" t="s">
        <v>1228</v>
      </c>
      <c r="C159" s="22">
        <v>480</v>
      </c>
      <c r="D159" s="44">
        <v>510</v>
      </c>
      <c r="E159" s="44">
        <v>570</v>
      </c>
      <c r="F159" s="44">
        <v>630</v>
      </c>
      <c r="G159" s="44">
        <v>600</v>
      </c>
      <c r="H159" s="44">
        <v>560</v>
      </c>
      <c r="I159" s="44">
        <v>460</v>
      </c>
      <c r="J159" s="44">
        <v>539</v>
      </c>
      <c r="K159" s="44">
        <v>612</v>
      </c>
      <c r="L159" s="44">
        <v>690</v>
      </c>
      <c r="M159" s="44">
        <v>720</v>
      </c>
      <c r="N159" s="39"/>
      <c r="O159" s="39"/>
      <c r="R159" s="39"/>
    </row>
    <row r="160" spans="2:18" ht="15" thickBot="1">
      <c r="B160" s="718" t="s">
        <v>1229</v>
      </c>
      <c r="C160" s="22">
        <v>270</v>
      </c>
      <c r="D160" s="44">
        <v>290</v>
      </c>
      <c r="E160" s="44">
        <v>320</v>
      </c>
      <c r="F160" s="44">
        <v>370</v>
      </c>
      <c r="G160" s="44">
        <v>360</v>
      </c>
      <c r="H160" s="44">
        <v>350</v>
      </c>
      <c r="I160" s="44">
        <v>270</v>
      </c>
      <c r="J160" s="44">
        <v>321</v>
      </c>
      <c r="K160" s="44">
        <v>378</v>
      </c>
      <c r="L160" s="44">
        <v>441</v>
      </c>
      <c r="M160" s="44">
        <v>469</v>
      </c>
      <c r="N160" s="39"/>
      <c r="O160" s="39"/>
      <c r="R160" s="39"/>
    </row>
    <row r="161" spans="2:18" ht="15" thickBot="1">
      <c r="B161" s="718" t="s">
        <v>1230</v>
      </c>
      <c r="C161" s="22">
        <v>330</v>
      </c>
      <c r="D161" s="44">
        <v>350</v>
      </c>
      <c r="E161" s="44">
        <v>390</v>
      </c>
      <c r="F161" s="44">
        <v>420</v>
      </c>
      <c r="G161" s="44">
        <v>390</v>
      </c>
      <c r="H161" s="44">
        <v>350</v>
      </c>
      <c r="I161" s="44">
        <v>300</v>
      </c>
      <c r="J161" s="44">
        <v>350</v>
      </c>
      <c r="K161" s="44">
        <v>386</v>
      </c>
      <c r="L161" s="44">
        <v>425</v>
      </c>
      <c r="M161" s="44">
        <v>439</v>
      </c>
      <c r="N161" s="39"/>
      <c r="O161" s="39"/>
      <c r="R161" s="39"/>
    </row>
    <row r="162" spans="2:18" ht="15" thickBot="1">
      <c r="B162" s="717" t="s">
        <v>51</v>
      </c>
      <c r="C162" s="42"/>
      <c r="D162" s="43"/>
      <c r="E162" s="43"/>
      <c r="F162" s="43"/>
      <c r="G162" s="43"/>
      <c r="H162" s="43"/>
      <c r="I162" s="43"/>
      <c r="J162" s="44"/>
      <c r="K162" s="44"/>
      <c r="L162" s="44"/>
      <c r="M162" s="44"/>
      <c r="N162" s="39"/>
      <c r="O162" s="39"/>
      <c r="R162" s="39"/>
    </row>
    <row r="163" spans="2:18" ht="21" thickBot="1">
      <c r="B163" s="718" t="s">
        <v>1228</v>
      </c>
      <c r="C163" s="22">
        <v>2800</v>
      </c>
      <c r="D163" s="44">
        <v>2860</v>
      </c>
      <c r="E163" s="44">
        <v>2770</v>
      </c>
      <c r="F163" s="44">
        <v>2750</v>
      </c>
      <c r="G163" s="44">
        <v>2770</v>
      </c>
      <c r="H163" s="44">
        <v>2750</v>
      </c>
      <c r="I163" s="44">
        <v>2810</v>
      </c>
      <c r="J163" s="44">
        <v>2969</v>
      </c>
      <c r="K163" s="44">
        <v>3068</v>
      </c>
      <c r="L163" s="44">
        <v>3260</v>
      </c>
      <c r="M163" s="44">
        <v>3074</v>
      </c>
      <c r="N163" s="39"/>
      <c r="O163" s="39"/>
      <c r="R163" s="39"/>
    </row>
    <row r="164" spans="2:18" ht="15" thickBot="1">
      <c r="B164" s="718" t="s">
        <v>1231</v>
      </c>
      <c r="C164" s="22">
        <v>470</v>
      </c>
      <c r="D164" s="44">
        <v>490</v>
      </c>
      <c r="E164" s="44">
        <v>500</v>
      </c>
      <c r="F164" s="44">
        <v>480</v>
      </c>
      <c r="G164" s="44">
        <v>470</v>
      </c>
      <c r="H164" s="44">
        <v>450</v>
      </c>
      <c r="I164" s="44">
        <v>460</v>
      </c>
      <c r="J164" s="44">
        <v>494</v>
      </c>
      <c r="K164" s="44">
        <v>525</v>
      </c>
      <c r="L164" s="44">
        <v>728</v>
      </c>
      <c r="M164" s="44">
        <v>730</v>
      </c>
      <c r="N164" s="39"/>
      <c r="O164" s="39"/>
      <c r="R164" s="39"/>
    </row>
    <row r="165" spans="2:18">
      <c r="B165" s="92" t="s">
        <v>1960</v>
      </c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Q165" s="39"/>
    </row>
    <row r="166" spans="2:18">
      <c r="B166" s="10" t="s">
        <v>2059</v>
      </c>
    </row>
    <row r="168" spans="2:18" ht="15.6">
      <c r="B168" s="83" t="s">
        <v>140</v>
      </c>
    </row>
    <row r="169" spans="2:18">
      <c r="B169" s="93" t="s">
        <v>77</v>
      </c>
    </row>
    <row r="170" spans="2:18">
      <c r="B170" s="115"/>
      <c r="C170" s="115">
        <v>2024</v>
      </c>
      <c r="D170" s="115">
        <v>2023</v>
      </c>
      <c r="E170" s="115">
        <v>2022</v>
      </c>
      <c r="F170" s="115">
        <v>2021</v>
      </c>
      <c r="G170" s="115">
        <v>2020</v>
      </c>
      <c r="H170" s="115">
        <v>2019</v>
      </c>
      <c r="I170" s="115">
        <v>2018</v>
      </c>
      <c r="J170" s="115">
        <v>2017</v>
      </c>
      <c r="K170" s="115">
        <v>2016</v>
      </c>
      <c r="L170" s="115">
        <v>2015</v>
      </c>
      <c r="M170" s="115">
        <v>2014</v>
      </c>
      <c r="N170" s="94"/>
      <c r="O170" s="94"/>
      <c r="R170" s="94"/>
    </row>
    <row r="171" spans="2:18" ht="15" thickBot="1">
      <c r="B171" s="717" t="s">
        <v>140</v>
      </c>
      <c r="C171" s="42">
        <v>1640</v>
      </c>
      <c r="D171" s="44">
        <v>1640</v>
      </c>
      <c r="E171" s="44">
        <v>1620</v>
      </c>
      <c r="F171" s="44">
        <v>1580</v>
      </c>
      <c r="G171" s="44">
        <v>1510</v>
      </c>
      <c r="H171" s="44">
        <v>1560</v>
      </c>
      <c r="I171" s="44">
        <v>1630</v>
      </c>
      <c r="J171" s="44">
        <v>1654</v>
      </c>
      <c r="K171" s="44">
        <v>1622</v>
      </c>
      <c r="L171" s="44">
        <v>1551</v>
      </c>
      <c r="M171" s="44">
        <v>1516</v>
      </c>
      <c r="N171" s="39"/>
      <c r="O171" s="39"/>
      <c r="R171" s="39"/>
    </row>
    <row r="172" spans="2:18">
      <c r="B172" s="92" t="s">
        <v>1201</v>
      </c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</row>
    <row r="173" spans="2:18">
      <c r="B173" s="723" t="s">
        <v>2059</v>
      </c>
      <c r="C173" s="548"/>
      <c r="D173" s="548"/>
      <c r="E173" s="548"/>
      <c r="F173" s="548"/>
      <c r="G173" s="548"/>
      <c r="H173" s="548"/>
      <c r="I173" s="548"/>
      <c r="J173" s="548"/>
      <c r="K173" s="548"/>
      <c r="L173" s="548"/>
      <c r="M173" s="548"/>
      <c r="N173" s="548"/>
      <c r="O173" s="548"/>
      <c r="P173" s="548"/>
      <c r="Q173" s="548"/>
    </row>
    <row r="176" spans="2:18" ht="17.399999999999999">
      <c r="B176" s="286" t="s">
        <v>1232</v>
      </c>
    </row>
    <row r="178" spans="2:7">
      <c r="B178" s="413" t="s">
        <v>2229</v>
      </c>
      <c r="C178" s="414"/>
      <c r="D178" s="414"/>
      <c r="E178" s="414"/>
      <c r="F178" s="414"/>
      <c r="G178" s="415"/>
    </row>
    <row r="179" spans="2:7" ht="111.75" customHeight="1">
      <c r="B179" s="416" t="s">
        <v>1633</v>
      </c>
      <c r="C179" s="416"/>
      <c r="D179" s="439">
        <v>5364355.3880000068</v>
      </c>
      <c r="E179" s="418" t="s">
        <v>1634</v>
      </c>
      <c r="F179" s="440">
        <v>4991631.173999995</v>
      </c>
      <c r="G179" s="418" t="s">
        <v>2253</v>
      </c>
    </row>
    <row r="180" spans="2:7" ht="34.200000000000003">
      <c r="B180" s="419"/>
      <c r="C180" s="419"/>
      <c r="D180" s="438"/>
      <c r="E180" s="418" t="s">
        <v>1635</v>
      </c>
      <c r="F180" s="440">
        <v>372724.21399999998</v>
      </c>
      <c r="G180" s="418" t="s">
        <v>2254</v>
      </c>
    </row>
    <row r="181" spans="2:7" ht="123" customHeight="1">
      <c r="B181" s="508" t="s">
        <v>780</v>
      </c>
      <c r="C181" s="508"/>
      <c r="D181" s="439">
        <v>4647807.1870000008</v>
      </c>
      <c r="E181" s="418" t="s">
        <v>781</v>
      </c>
      <c r="F181" s="440">
        <v>4394438.2950000074</v>
      </c>
      <c r="G181" s="418" t="s">
        <v>2255</v>
      </c>
    </row>
    <row r="182" spans="2:7" ht="51.75" customHeight="1">
      <c r="B182" s="422"/>
      <c r="C182" s="422"/>
      <c r="D182" s="440"/>
      <c r="E182" s="418" t="s">
        <v>782</v>
      </c>
      <c r="F182" s="440">
        <v>158429.72599999985</v>
      </c>
      <c r="G182" s="418" t="s">
        <v>2256</v>
      </c>
    </row>
    <row r="183" spans="2:7" ht="99.75" customHeight="1">
      <c r="B183" s="724" t="s">
        <v>786</v>
      </c>
      <c r="C183" s="416"/>
      <c r="D183" s="439">
        <v>1646154.7099999983</v>
      </c>
      <c r="E183" s="418" t="s">
        <v>788</v>
      </c>
      <c r="F183" s="440">
        <v>1153467.0210000002</v>
      </c>
      <c r="G183" s="418" t="s">
        <v>2257</v>
      </c>
    </row>
    <row r="184" spans="2:7" ht="90" customHeight="1">
      <c r="B184" s="422"/>
      <c r="C184" s="422"/>
      <c r="D184" s="440"/>
      <c r="E184" s="418" t="s">
        <v>787</v>
      </c>
      <c r="F184" s="440">
        <v>492687.6889999999</v>
      </c>
      <c r="G184" s="418" t="s">
        <v>2258</v>
      </c>
    </row>
    <row r="185" spans="2:7" ht="142.5" customHeight="1">
      <c r="B185" s="508" t="s">
        <v>783</v>
      </c>
      <c r="C185" s="508"/>
      <c r="D185" s="439">
        <v>362328.46500000026</v>
      </c>
      <c r="E185" s="418" t="s">
        <v>784</v>
      </c>
      <c r="F185" s="440">
        <v>293447.04499999993</v>
      </c>
      <c r="G185" s="418" t="s">
        <v>2259</v>
      </c>
    </row>
    <row r="186" spans="2:7" ht="104.25" customHeight="1">
      <c r="B186" s="416"/>
      <c r="C186" s="416"/>
      <c r="D186" s="439"/>
      <c r="E186" s="423" t="s">
        <v>785</v>
      </c>
      <c r="F186" s="439">
        <v>68881.420000000027</v>
      </c>
      <c r="G186" s="424" t="s">
        <v>2260</v>
      </c>
    </row>
    <row r="187" spans="2:7">
      <c r="B187" s="425" t="s">
        <v>3</v>
      </c>
      <c r="C187" s="426"/>
      <c r="D187" s="509">
        <v>12020645.750000006</v>
      </c>
      <c r="E187" s="428"/>
      <c r="F187" s="443"/>
      <c r="G187" s="428"/>
    </row>
    <row r="188" spans="2:7" ht="15.6">
      <c r="B188" s="429"/>
      <c r="C188" s="429"/>
      <c r="D188" s="430"/>
      <c r="E188" s="431"/>
      <c r="F188" s="432"/>
      <c r="G188" s="433"/>
    </row>
    <row r="189" spans="2:7">
      <c r="B189" s="413" t="s">
        <v>2230</v>
      </c>
      <c r="C189" s="414"/>
      <c r="D189" s="434"/>
      <c r="E189" s="414"/>
      <c r="F189" s="434"/>
      <c r="G189" s="435"/>
    </row>
    <row r="190" spans="2:7" ht="114.75" customHeight="1">
      <c r="B190" s="416" t="s">
        <v>1633</v>
      </c>
      <c r="C190" s="416"/>
      <c r="D190" s="436">
        <v>1460507.9230000004</v>
      </c>
      <c r="E190" s="418" t="s">
        <v>1634</v>
      </c>
      <c r="F190" s="437">
        <v>1380398.358</v>
      </c>
      <c r="G190" s="418" t="s">
        <v>2261</v>
      </c>
    </row>
    <row r="191" spans="2:7" ht="22.8">
      <c r="B191" s="419"/>
      <c r="C191" s="419"/>
      <c r="D191" s="438"/>
      <c r="E191" s="418" t="s">
        <v>1635</v>
      </c>
      <c r="F191" s="437">
        <v>80109.565000000017</v>
      </c>
      <c r="G191" s="418" t="s">
        <v>2262</v>
      </c>
    </row>
    <row r="192" spans="2:7" ht="114">
      <c r="B192" s="508" t="s">
        <v>780</v>
      </c>
      <c r="C192" s="508"/>
      <c r="D192" s="439">
        <v>926317.60700000019</v>
      </c>
      <c r="E192" s="418" t="s">
        <v>781</v>
      </c>
      <c r="F192" s="440">
        <v>741267.79700000049</v>
      </c>
      <c r="G192" s="418" t="s">
        <v>2263</v>
      </c>
    </row>
    <row r="193" spans="2:7" ht="45.6">
      <c r="B193" s="422"/>
      <c r="C193" s="422"/>
      <c r="D193" s="440"/>
      <c r="E193" s="418" t="s">
        <v>782</v>
      </c>
      <c r="F193" s="440">
        <v>169240.4659999999</v>
      </c>
      <c r="G193" s="418" t="s">
        <v>2264</v>
      </c>
    </row>
    <row r="194" spans="2:7" ht="91.2">
      <c r="B194" s="508" t="s">
        <v>783</v>
      </c>
      <c r="C194" s="508"/>
      <c r="D194" s="439">
        <v>342376.13500000001</v>
      </c>
      <c r="E194" s="418" t="s">
        <v>784</v>
      </c>
      <c r="F194" s="440">
        <v>256606.75499999986</v>
      </c>
      <c r="G194" s="418" t="s">
        <v>2265</v>
      </c>
    </row>
    <row r="195" spans="2:7" ht="79.8">
      <c r="B195" s="422"/>
      <c r="C195" s="422"/>
      <c r="D195" s="440"/>
      <c r="E195" s="418" t="s">
        <v>785</v>
      </c>
      <c r="F195" s="440">
        <v>85769.379999999976</v>
      </c>
      <c r="G195" s="418" t="s">
        <v>2266</v>
      </c>
    </row>
    <row r="196" spans="2:7" ht="90" customHeight="1">
      <c r="B196" s="508" t="s">
        <v>786</v>
      </c>
      <c r="C196" s="508"/>
      <c r="D196" s="439">
        <v>58755.516999999956</v>
      </c>
      <c r="E196" s="418" t="s">
        <v>788</v>
      </c>
      <c r="F196" s="440">
        <v>49574.671999999926</v>
      </c>
      <c r="G196" s="418" t="s">
        <v>2267</v>
      </c>
    </row>
    <row r="197" spans="2:7" ht="88.5" customHeight="1">
      <c r="B197" s="416"/>
      <c r="C197" s="416"/>
      <c r="D197" s="439"/>
      <c r="E197" s="423" t="s">
        <v>787</v>
      </c>
      <c r="F197" s="439">
        <v>9180.8450000000048</v>
      </c>
      <c r="G197" s="423" t="s">
        <v>2268</v>
      </c>
    </row>
    <row r="198" spans="2:7">
      <c r="B198" s="425" t="s">
        <v>3</v>
      </c>
      <c r="C198" s="426"/>
      <c r="D198" s="509">
        <v>2787957.182000001</v>
      </c>
      <c r="E198" s="428"/>
      <c r="F198" s="443"/>
      <c r="G198" s="428"/>
    </row>
    <row r="200" spans="2:7">
      <c r="B200" s="442" t="s">
        <v>2231</v>
      </c>
      <c r="C200" s="444"/>
      <c r="D200" s="415"/>
      <c r="E200" s="415"/>
      <c r="F200" s="415"/>
      <c r="G200" s="415"/>
    </row>
    <row r="201" spans="2:7">
      <c r="B201" s="445" t="s">
        <v>24</v>
      </c>
      <c r="C201" s="510">
        <v>444096.59799999994</v>
      </c>
      <c r="D201" s="445" t="s">
        <v>2233</v>
      </c>
      <c r="E201" s="445"/>
      <c r="F201" s="445"/>
      <c r="G201" s="445"/>
    </row>
    <row r="202" spans="2:7">
      <c r="B202" s="445" t="s">
        <v>37</v>
      </c>
      <c r="C202" s="510">
        <v>371884.04200000002</v>
      </c>
      <c r="D202" s="445" t="s">
        <v>2234</v>
      </c>
      <c r="E202" s="445"/>
      <c r="F202" s="445"/>
      <c r="G202" s="445"/>
    </row>
    <row r="203" spans="2:7">
      <c r="B203" s="445" t="s">
        <v>10</v>
      </c>
      <c r="C203" s="510">
        <v>325991.91999999993</v>
      </c>
      <c r="D203" s="445" t="s">
        <v>2235</v>
      </c>
      <c r="E203" s="445"/>
      <c r="F203" s="445"/>
      <c r="G203" s="445"/>
    </row>
    <row r="204" spans="2:7">
      <c r="B204" s="445" t="s">
        <v>12</v>
      </c>
      <c r="C204" s="510">
        <v>212088.74200000009</v>
      </c>
      <c r="D204" s="445" t="s">
        <v>2236</v>
      </c>
      <c r="E204" s="445"/>
      <c r="F204" s="445"/>
      <c r="G204" s="445"/>
    </row>
    <row r="205" spans="2:7">
      <c r="B205" s="445" t="s">
        <v>23</v>
      </c>
      <c r="C205" s="510">
        <v>206665.397</v>
      </c>
      <c r="D205" s="445" t="s">
        <v>2237</v>
      </c>
      <c r="E205" s="445"/>
      <c r="F205" s="445"/>
      <c r="G205" s="445"/>
    </row>
    <row r="206" spans="2:7">
      <c r="B206" s="445" t="s">
        <v>6</v>
      </c>
      <c r="C206" s="510">
        <v>197865.31299999999</v>
      </c>
      <c r="D206" s="445" t="s">
        <v>2238</v>
      </c>
      <c r="E206" s="445"/>
      <c r="F206" s="445"/>
      <c r="G206" s="445"/>
    </row>
    <row r="207" spans="2:7">
      <c r="B207" s="445" t="s">
        <v>35</v>
      </c>
      <c r="C207" s="510">
        <v>141946.28199999998</v>
      </c>
      <c r="D207" s="445" t="s">
        <v>2239</v>
      </c>
      <c r="E207" s="445"/>
      <c r="F207" s="445"/>
      <c r="G207" s="445"/>
    </row>
    <row r="208" spans="2:7">
      <c r="B208" s="445" t="s">
        <v>17</v>
      </c>
      <c r="C208" s="510">
        <v>106260.50499999999</v>
      </c>
      <c r="D208" s="445" t="s">
        <v>2240</v>
      </c>
      <c r="E208" s="445"/>
      <c r="F208" s="445"/>
      <c r="G208" s="445"/>
    </row>
    <row r="209" spans="2:7">
      <c r="B209" s="445" t="s">
        <v>7</v>
      </c>
      <c r="C209" s="510">
        <v>82785.017999999982</v>
      </c>
      <c r="D209" s="445" t="s">
        <v>2241</v>
      </c>
      <c r="E209" s="445"/>
      <c r="F209" s="445"/>
      <c r="G209" s="445"/>
    </row>
    <row r="210" spans="2:7">
      <c r="B210" s="445" t="s">
        <v>1287</v>
      </c>
      <c r="C210" s="510">
        <v>54986.810999999994</v>
      </c>
      <c r="D210" s="445" t="s">
        <v>2242</v>
      </c>
      <c r="E210" s="445"/>
      <c r="F210" s="445"/>
      <c r="G210" s="445"/>
    </row>
    <row r="211" spans="2:7">
      <c r="B211" s="290" t="s">
        <v>1623</v>
      </c>
      <c r="C211" s="490">
        <v>643386.5540000014</v>
      </c>
      <c r="D211" s="454"/>
      <c r="E211" s="454"/>
      <c r="F211" s="454"/>
    </row>
    <row r="212" spans="2:7">
      <c r="B212" s="425" t="s">
        <v>3</v>
      </c>
      <c r="C212" s="441">
        <v>2787957.1820000014</v>
      </c>
      <c r="D212" s="442" t="s">
        <v>1233</v>
      </c>
      <c r="E212" s="442"/>
      <c r="F212" s="428"/>
      <c r="G212" s="428"/>
    </row>
    <row r="213" spans="2:7">
      <c r="C213" s="456"/>
    </row>
    <row r="214" spans="2:7">
      <c r="B214" s="442" t="s">
        <v>2232</v>
      </c>
      <c r="C214" s="457"/>
      <c r="D214" s="415"/>
      <c r="E214" s="415"/>
      <c r="F214" s="415"/>
      <c r="G214" s="415"/>
    </row>
    <row r="215" spans="2:7">
      <c r="B215" s="445" t="s">
        <v>10</v>
      </c>
      <c r="C215" s="510">
        <v>3142193.7340000002</v>
      </c>
      <c r="D215" s="445" t="s">
        <v>2243</v>
      </c>
      <c r="E215" s="445"/>
      <c r="F215" s="445"/>
      <c r="G215" s="445"/>
    </row>
    <row r="216" spans="2:7">
      <c r="B216" s="445" t="s">
        <v>20</v>
      </c>
      <c r="C216" s="510">
        <v>1344374.0109999999</v>
      </c>
      <c r="D216" s="445" t="s">
        <v>2244</v>
      </c>
      <c r="E216" s="445"/>
      <c r="F216" s="445"/>
      <c r="G216" s="445"/>
    </row>
    <row r="217" spans="2:7">
      <c r="B217" s="445" t="s">
        <v>9</v>
      </c>
      <c r="C217" s="510">
        <v>1001723.0619999999</v>
      </c>
      <c r="D217" s="445" t="s">
        <v>2245</v>
      </c>
      <c r="E217" s="445"/>
      <c r="F217" s="445"/>
      <c r="G217" s="445"/>
    </row>
    <row r="218" spans="2:7">
      <c r="B218" s="445" t="s">
        <v>15</v>
      </c>
      <c r="C218" s="510">
        <v>643233.87500000023</v>
      </c>
      <c r="D218" s="445" t="s">
        <v>2246</v>
      </c>
      <c r="E218" s="445"/>
      <c r="F218" s="445"/>
      <c r="G218" s="445"/>
    </row>
    <row r="219" spans="2:7">
      <c r="B219" s="445" t="s">
        <v>6</v>
      </c>
      <c r="C219" s="510">
        <v>543838.3139999999</v>
      </c>
      <c r="D219" s="445" t="s">
        <v>2247</v>
      </c>
      <c r="E219" s="445"/>
      <c r="F219" s="445"/>
      <c r="G219" s="445"/>
    </row>
    <row r="220" spans="2:7">
      <c r="B220" s="445" t="s">
        <v>12</v>
      </c>
      <c r="C220" s="510">
        <v>528544.75199999998</v>
      </c>
      <c r="D220" s="445" t="s">
        <v>2248</v>
      </c>
      <c r="E220" s="445"/>
      <c r="F220" s="445"/>
      <c r="G220" s="445"/>
    </row>
    <row r="221" spans="2:7">
      <c r="B221" s="445" t="s">
        <v>19</v>
      </c>
      <c r="C221" s="510">
        <v>354854.78399999999</v>
      </c>
      <c r="D221" s="445" t="s">
        <v>2249</v>
      </c>
      <c r="E221" s="445"/>
      <c r="F221" s="445"/>
      <c r="G221" s="445"/>
    </row>
    <row r="222" spans="2:7">
      <c r="B222" s="445" t="s">
        <v>33</v>
      </c>
      <c r="C222" s="510">
        <v>304003.89499999996</v>
      </c>
      <c r="D222" s="445" t="s">
        <v>2250</v>
      </c>
      <c r="E222" s="445"/>
      <c r="F222" s="445"/>
      <c r="G222" s="445"/>
    </row>
    <row r="223" spans="2:7">
      <c r="B223" s="445" t="s">
        <v>736</v>
      </c>
      <c r="C223" s="510">
        <v>300986.86099999998</v>
      </c>
      <c r="D223" s="445" t="s">
        <v>2251</v>
      </c>
      <c r="E223" s="445"/>
      <c r="F223" s="445"/>
      <c r="G223" s="445"/>
    </row>
    <row r="224" spans="2:7">
      <c r="B224" s="445" t="s">
        <v>5</v>
      </c>
      <c r="C224" s="510">
        <v>296837.84800000006</v>
      </c>
      <c r="D224" s="445" t="s">
        <v>2252</v>
      </c>
      <c r="E224" s="445"/>
      <c r="F224" s="445"/>
      <c r="G224" s="445"/>
    </row>
    <row r="225" spans="2:7">
      <c r="B225" s="290" t="s">
        <v>1623</v>
      </c>
      <c r="C225" s="490">
        <v>3560054.6139999963</v>
      </c>
      <c r="D225" s="454"/>
      <c r="E225" s="454"/>
      <c r="F225" s="454"/>
    </row>
    <row r="226" spans="2:7">
      <c r="B226" s="425" t="s">
        <v>3</v>
      </c>
      <c r="C226" s="441">
        <v>12020645.749999996</v>
      </c>
      <c r="D226" s="442" t="s">
        <v>1234</v>
      </c>
      <c r="E226" s="442"/>
      <c r="F226" s="428"/>
      <c r="G226" s="428"/>
    </row>
    <row r="227" spans="2:7">
      <c r="B227" s="87" t="s">
        <v>2391</v>
      </c>
    </row>
  </sheetData>
  <mergeCells count="2">
    <mergeCell ref="R49:R50"/>
    <mergeCell ref="S49:S50"/>
  </mergeCells>
  <phoneticPr fontId="138" type="noConversion"/>
  <hyperlinks>
    <hyperlink ref="B21" r:id="rId1" display="Source: Worldbank, 2017, World Development Indicators " xr:uid="{00000000-0004-0000-1D00-000000000000}"/>
    <hyperlink ref="B43" r:id="rId2" xr:uid="{00000000-0004-0000-1D00-000001000000}"/>
    <hyperlink ref="B89" r:id="rId3" location="/CBS/nl/dataset/81302ned/table?dl=DECC" display="Source: Centraal Bureau voor de Statistiek (CBS), 2020" xr:uid="{00000000-0004-0000-1D00-000002000000}"/>
    <hyperlink ref="B115" r:id="rId4" display="Source: Bloembollenkeuringsdienst (BKD)" xr:uid="{00000000-0004-0000-1D00-000003000000}"/>
    <hyperlink ref="B134" r:id="rId5" location="/CBS/nl/dataset/81302ned/table?dl=DECC" display="Source: Centraal Bureau voor de Statistiek (CBS)" xr:uid="{00000000-0004-0000-1D00-000004000000}"/>
    <hyperlink ref="B173" r:id="rId6" location="/CBS/nl/dataset/81302ned/table?dl=DECC" display="Source: Centraal Bureau voor de Statistiek (CBS)" xr:uid="{00000000-0004-0000-1D00-000005000000}"/>
    <hyperlink ref="B166" r:id="rId7" location="/CBS/nl/dataset/81302ned/table?dl=DECC" display="Source: Centraal Bureau voor de Statistiek (CBS)" xr:uid="{00000000-0004-0000-1D00-000006000000}"/>
    <hyperlink ref="B152" r:id="rId8" location="/CBS/nl/dataset/81302ned/table?dl=DECC" display="Source: Centraal Bureau voor de Statistiek (CBS)" xr:uid="{00000000-0004-0000-1D00-000007000000}"/>
  </hyperlinks>
  <pageMargins left="0.7" right="0.7" top="0.78740157499999996" bottom="0.78740157499999996" header="0.3" footer="0.3"/>
  <pageSetup paperSize="9" orientation="portrait" r:id="rId9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00B050"/>
  </sheetPr>
  <dimension ref="B3:Q55"/>
  <sheetViews>
    <sheetView showGridLines="0" zoomScale="85" zoomScaleNormal="85" workbookViewId="0">
      <selection activeCell="J50" sqref="J50"/>
    </sheetView>
  </sheetViews>
  <sheetFormatPr defaultColWidth="11.44140625" defaultRowHeight="14.4"/>
  <cols>
    <col min="1" max="1" width="9" customWidth="1"/>
    <col min="2" max="2" width="22.44140625" customWidth="1"/>
    <col min="3" max="9" width="7.44140625" customWidth="1"/>
    <col min="10" max="10" width="23.88671875" customWidth="1"/>
    <col min="11" max="17" width="8.5546875" customWidth="1"/>
  </cols>
  <sheetData>
    <row r="3" spans="2:10" ht="15.6">
      <c r="B3" s="83" t="s">
        <v>243</v>
      </c>
    </row>
    <row r="4" spans="2:10" ht="15.6">
      <c r="B4" s="83"/>
    </row>
    <row r="5" spans="2:10" ht="15.6">
      <c r="B5" s="83" t="s">
        <v>56</v>
      </c>
    </row>
    <row r="6" spans="2:10">
      <c r="B6" s="93" t="s">
        <v>54</v>
      </c>
    </row>
    <row r="7" spans="2:10" ht="15" customHeight="1">
      <c r="B7" s="11"/>
      <c r="C7" s="115">
        <v>2020</v>
      </c>
      <c r="D7" s="115">
        <v>2018</v>
      </c>
      <c r="E7" s="115">
        <v>2010</v>
      </c>
      <c r="F7" s="115">
        <v>2006</v>
      </c>
      <c r="G7" s="115">
        <v>2004</v>
      </c>
      <c r="H7" s="115">
        <v>2001</v>
      </c>
      <c r="I7" s="85">
        <v>1999</v>
      </c>
      <c r="J7" s="85"/>
    </row>
    <row r="8" spans="2:10" ht="21" thickBot="1">
      <c r="B8" s="84" t="s">
        <v>1758</v>
      </c>
      <c r="C8" s="1027">
        <v>81.38</v>
      </c>
      <c r="D8" s="984" t="s">
        <v>59</v>
      </c>
      <c r="E8" s="59" t="s">
        <v>59</v>
      </c>
      <c r="F8" s="95">
        <v>22</v>
      </c>
      <c r="G8" s="59" t="s">
        <v>59</v>
      </c>
      <c r="H8" s="59" t="s">
        <v>59</v>
      </c>
      <c r="I8" s="59" t="s">
        <v>59</v>
      </c>
      <c r="J8" s="84" t="s">
        <v>244</v>
      </c>
    </row>
    <row r="9" spans="2:10" ht="15" customHeight="1" thickBot="1">
      <c r="B9" s="84" t="s">
        <v>245</v>
      </c>
      <c r="C9" s="145" t="s">
        <v>59</v>
      </c>
      <c r="D9" s="984" t="s">
        <v>59</v>
      </c>
      <c r="E9" s="59" t="s">
        <v>59</v>
      </c>
      <c r="F9" s="95">
        <v>91</v>
      </c>
      <c r="G9" s="59" t="s">
        <v>59</v>
      </c>
      <c r="H9" s="59" t="s">
        <v>59</v>
      </c>
      <c r="I9" s="59" t="s">
        <v>59</v>
      </c>
      <c r="J9" s="84" t="s">
        <v>246</v>
      </c>
    </row>
    <row r="10" spans="2:10" ht="15" customHeight="1" thickBot="1">
      <c r="B10" s="84" t="s">
        <v>247</v>
      </c>
      <c r="C10" s="22" t="s">
        <v>59</v>
      </c>
      <c r="D10" s="95">
        <v>115</v>
      </c>
      <c r="E10" s="95">
        <v>226</v>
      </c>
      <c r="F10" s="95">
        <v>299</v>
      </c>
      <c r="G10" s="95">
        <v>293</v>
      </c>
      <c r="H10" s="95">
        <v>300</v>
      </c>
      <c r="I10" s="95">
        <v>287</v>
      </c>
      <c r="J10" s="84" t="s">
        <v>248</v>
      </c>
    </row>
    <row r="11" spans="2:10" ht="15" customHeight="1" thickBot="1">
      <c r="B11" s="36" t="s">
        <v>249</v>
      </c>
      <c r="C11" s="22" t="s">
        <v>59</v>
      </c>
      <c r="D11" s="95">
        <v>47</v>
      </c>
      <c r="E11" s="95">
        <v>61</v>
      </c>
      <c r="F11" s="95">
        <v>50</v>
      </c>
      <c r="G11" s="59" t="s">
        <v>59</v>
      </c>
      <c r="H11" s="59" t="s">
        <v>59</v>
      </c>
      <c r="I11" s="95">
        <v>56</v>
      </c>
      <c r="J11" s="36" t="s">
        <v>250</v>
      </c>
    </row>
    <row r="12" spans="2:10" ht="15" customHeight="1" thickBot="1">
      <c r="B12" s="36" t="s">
        <v>251</v>
      </c>
      <c r="C12" s="287">
        <v>15.43</v>
      </c>
      <c r="D12" s="95">
        <v>6</v>
      </c>
      <c r="E12" s="95">
        <v>6</v>
      </c>
      <c r="F12" s="95">
        <v>8</v>
      </c>
      <c r="G12" s="59" t="s">
        <v>59</v>
      </c>
      <c r="H12" s="59" t="s">
        <v>59</v>
      </c>
      <c r="I12" s="95">
        <v>6</v>
      </c>
      <c r="J12" s="36" t="s">
        <v>252</v>
      </c>
    </row>
    <row r="13" spans="2:10" ht="12" customHeight="1">
      <c r="B13" s="10" t="s">
        <v>1757</v>
      </c>
    </row>
    <row r="14" spans="2:10" ht="12" customHeight="1">
      <c r="B14" s="92"/>
    </row>
    <row r="15" spans="2:10" ht="15" customHeight="1">
      <c r="B15" s="15"/>
    </row>
    <row r="16" spans="2:10" ht="15" customHeight="1"/>
    <row r="17" spans="10:17" ht="15" customHeight="1">
      <c r="J17" s="83" t="s">
        <v>253</v>
      </c>
    </row>
    <row r="18" spans="10:17" ht="15" customHeight="1">
      <c r="J18" s="93" t="s">
        <v>254</v>
      </c>
    </row>
    <row r="19" spans="10:17" ht="15" customHeight="1">
      <c r="J19" s="11"/>
      <c r="K19" s="115">
        <v>2018</v>
      </c>
      <c r="L19" s="115">
        <v>2010</v>
      </c>
      <c r="M19" s="115">
        <v>2006</v>
      </c>
      <c r="N19" s="115">
        <v>2004</v>
      </c>
      <c r="O19" s="115">
        <v>2001</v>
      </c>
      <c r="P19" s="115">
        <v>1998</v>
      </c>
      <c r="Q19" s="115">
        <v>1995</v>
      </c>
    </row>
    <row r="20" spans="10:17" ht="15" customHeight="1" thickBot="1">
      <c r="J20" s="49" t="s">
        <v>53</v>
      </c>
      <c r="K20" s="216">
        <v>66172</v>
      </c>
      <c r="L20" s="45">
        <v>69303</v>
      </c>
      <c r="M20" s="45">
        <v>117471</v>
      </c>
      <c r="N20" s="45">
        <v>110048</v>
      </c>
      <c r="O20" s="45">
        <v>109580</v>
      </c>
      <c r="P20" s="45">
        <v>112122</v>
      </c>
      <c r="Q20" s="45">
        <v>104646</v>
      </c>
    </row>
    <row r="21" spans="10:17" ht="15" customHeight="1" thickBot="1">
      <c r="J21" s="36" t="s">
        <v>113</v>
      </c>
      <c r="K21" s="222" t="s">
        <v>59</v>
      </c>
      <c r="L21" s="46">
        <v>10596</v>
      </c>
      <c r="M21" s="46">
        <v>25713</v>
      </c>
      <c r="N21" s="46" t="s">
        <v>59</v>
      </c>
      <c r="O21" s="46" t="s">
        <v>59</v>
      </c>
      <c r="P21" s="46" t="s">
        <v>59</v>
      </c>
      <c r="Q21" s="46" t="s">
        <v>59</v>
      </c>
    </row>
    <row r="22" spans="10:17" ht="15" customHeight="1" thickBot="1">
      <c r="J22" s="36" t="s">
        <v>141</v>
      </c>
      <c r="K22" s="222" t="s">
        <v>59</v>
      </c>
      <c r="L22" s="46">
        <v>53879</v>
      </c>
      <c r="M22" s="46">
        <v>78873</v>
      </c>
      <c r="N22" s="46" t="s">
        <v>59</v>
      </c>
      <c r="O22" s="46" t="s">
        <v>59</v>
      </c>
      <c r="P22" s="46" t="s">
        <v>59</v>
      </c>
      <c r="Q22" s="46" t="s">
        <v>59</v>
      </c>
    </row>
    <row r="23" spans="10:17" ht="15" customHeight="1" thickBot="1">
      <c r="J23" s="36" t="s">
        <v>115</v>
      </c>
      <c r="K23" s="222" t="s">
        <v>59</v>
      </c>
      <c r="L23" s="46">
        <v>1208</v>
      </c>
      <c r="M23" s="46">
        <v>2432</v>
      </c>
      <c r="N23" s="46" t="s">
        <v>59</v>
      </c>
      <c r="O23" s="46" t="s">
        <v>59</v>
      </c>
      <c r="P23" s="46" t="s">
        <v>59</v>
      </c>
      <c r="Q23" s="46" t="s">
        <v>59</v>
      </c>
    </row>
    <row r="24" spans="10:17" ht="15" customHeight="1" thickBot="1">
      <c r="J24" s="36" t="s">
        <v>114</v>
      </c>
      <c r="K24" s="222" t="s">
        <v>59</v>
      </c>
      <c r="L24" s="46">
        <v>3075</v>
      </c>
      <c r="M24" s="46">
        <v>4717</v>
      </c>
      <c r="N24" s="46" t="s">
        <v>59</v>
      </c>
      <c r="O24" s="46" t="s">
        <v>59</v>
      </c>
      <c r="P24" s="46" t="s">
        <v>59</v>
      </c>
      <c r="Q24" s="46" t="s">
        <v>59</v>
      </c>
    </row>
    <row r="25" spans="10:17" ht="15" customHeight="1" thickBot="1">
      <c r="J25" s="36" t="s">
        <v>255</v>
      </c>
      <c r="K25" s="222" t="s">
        <v>59</v>
      </c>
      <c r="L25" s="46">
        <v>493</v>
      </c>
      <c r="M25" s="46">
        <v>5736</v>
      </c>
      <c r="N25" s="46" t="s">
        <v>59</v>
      </c>
      <c r="O25" s="46" t="s">
        <v>59</v>
      </c>
      <c r="P25" s="46" t="s">
        <v>59</v>
      </c>
      <c r="Q25" s="46" t="s">
        <v>59</v>
      </c>
    </row>
    <row r="26" spans="10:17" ht="15" customHeight="1" thickBot="1">
      <c r="J26" s="49" t="s">
        <v>256</v>
      </c>
      <c r="K26" s="216">
        <v>26806</v>
      </c>
      <c r="L26" s="45">
        <v>15552</v>
      </c>
      <c r="M26" s="45">
        <v>34367</v>
      </c>
      <c r="N26" s="45">
        <v>42322</v>
      </c>
      <c r="O26" s="45">
        <v>43178</v>
      </c>
      <c r="P26" s="45">
        <v>35605</v>
      </c>
      <c r="Q26" s="45">
        <v>35908</v>
      </c>
    </row>
    <row r="27" spans="10:17" ht="15" customHeight="1" thickBot="1">
      <c r="J27" s="36" t="s">
        <v>148</v>
      </c>
      <c r="K27" s="222" t="s">
        <v>59</v>
      </c>
      <c r="L27" s="46">
        <v>3649</v>
      </c>
      <c r="M27" s="46">
        <v>5878</v>
      </c>
      <c r="N27" s="46" t="s">
        <v>59</v>
      </c>
      <c r="O27" s="46" t="s">
        <v>59</v>
      </c>
      <c r="P27" s="46">
        <v>5774</v>
      </c>
      <c r="Q27" s="46" t="s">
        <v>59</v>
      </c>
    </row>
    <row r="28" spans="10:17" ht="15" customHeight="1" thickBot="1">
      <c r="J28" s="36" t="s">
        <v>152</v>
      </c>
      <c r="K28" s="222" t="s">
        <v>59</v>
      </c>
      <c r="L28" s="46">
        <v>3870</v>
      </c>
      <c r="M28" s="46">
        <v>4133</v>
      </c>
      <c r="N28" s="46" t="s">
        <v>59</v>
      </c>
      <c r="O28" s="46" t="s">
        <v>59</v>
      </c>
      <c r="P28" s="46">
        <v>2649</v>
      </c>
      <c r="Q28" s="46" t="s">
        <v>59</v>
      </c>
    </row>
    <row r="29" spans="10:17" ht="15" customHeight="1" thickBot="1">
      <c r="J29" s="36" t="s">
        <v>257</v>
      </c>
      <c r="K29" s="222" t="s">
        <v>59</v>
      </c>
      <c r="L29" s="46">
        <v>2037</v>
      </c>
      <c r="M29" s="46">
        <v>2650</v>
      </c>
      <c r="N29" s="46" t="s">
        <v>59</v>
      </c>
      <c r="O29" s="46" t="s">
        <v>59</v>
      </c>
      <c r="P29" s="46">
        <v>4574</v>
      </c>
      <c r="Q29" s="46" t="s">
        <v>59</v>
      </c>
    </row>
    <row r="30" spans="10:17" ht="15" customHeight="1" thickBot="1">
      <c r="J30" s="36" t="s">
        <v>258</v>
      </c>
      <c r="K30" s="222" t="s">
        <v>59</v>
      </c>
      <c r="L30" s="46">
        <v>1459</v>
      </c>
      <c r="M30" s="46">
        <v>2453</v>
      </c>
      <c r="N30" s="46" t="s">
        <v>59</v>
      </c>
      <c r="O30" s="46" t="s">
        <v>59</v>
      </c>
      <c r="P30" s="46">
        <v>3528</v>
      </c>
      <c r="Q30" s="46" t="s">
        <v>59</v>
      </c>
    </row>
    <row r="31" spans="10:17" ht="15" customHeight="1" thickBot="1">
      <c r="J31" s="36" t="s">
        <v>332</v>
      </c>
      <c r="K31" s="222" t="s">
        <v>59</v>
      </c>
      <c r="L31" s="46">
        <v>1193</v>
      </c>
      <c r="M31" s="46">
        <v>2266</v>
      </c>
      <c r="N31" s="46" t="s">
        <v>59</v>
      </c>
      <c r="O31" s="46" t="s">
        <v>59</v>
      </c>
      <c r="P31" s="46">
        <v>4092</v>
      </c>
      <c r="Q31" s="46" t="s">
        <v>59</v>
      </c>
    </row>
    <row r="32" spans="10:17" ht="15" customHeight="1" thickBot="1">
      <c r="J32" s="36" t="s">
        <v>259</v>
      </c>
      <c r="K32" s="222" t="s">
        <v>59</v>
      </c>
      <c r="L32" s="46">
        <v>1022</v>
      </c>
      <c r="M32" s="46">
        <v>1639</v>
      </c>
      <c r="N32" s="46" t="s">
        <v>59</v>
      </c>
      <c r="O32" s="46" t="s">
        <v>59</v>
      </c>
      <c r="P32" s="46">
        <v>2367</v>
      </c>
      <c r="Q32" s="46" t="s">
        <v>59</v>
      </c>
    </row>
    <row r="33" spans="2:17" ht="15" customHeight="1" thickBot="1">
      <c r="J33" s="36" t="s">
        <v>260</v>
      </c>
      <c r="K33" s="222" t="s">
        <v>59</v>
      </c>
      <c r="L33" s="46">
        <v>2322</v>
      </c>
      <c r="M33" s="46">
        <v>15345</v>
      </c>
      <c r="N33" s="46" t="s">
        <v>59</v>
      </c>
      <c r="O33" s="46" t="s">
        <v>59</v>
      </c>
      <c r="P33" s="46">
        <v>14285</v>
      </c>
      <c r="Q33" s="46" t="s">
        <v>59</v>
      </c>
    </row>
    <row r="36" spans="2:17" ht="15.6">
      <c r="J36" s="83" t="s">
        <v>253</v>
      </c>
    </row>
    <row r="37" spans="2:17">
      <c r="J37" s="93" t="s">
        <v>261</v>
      </c>
    </row>
    <row r="38" spans="2:17">
      <c r="J38" s="38"/>
      <c r="K38" s="115">
        <v>2018</v>
      </c>
      <c r="L38" s="115">
        <v>2010</v>
      </c>
      <c r="M38" s="115">
        <v>2006</v>
      </c>
      <c r="N38" s="115">
        <v>2004</v>
      </c>
      <c r="O38" s="115">
        <v>2001</v>
      </c>
      <c r="P38" s="115">
        <v>1998</v>
      </c>
      <c r="Q38" s="115">
        <v>1995</v>
      </c>
    </row>
    <row r="39" spans="2:17" ht="15" thickBot="1">
      <c r="J39" s="49" t="s">
        <v>262</v>
      </c>
      <c r="K39" s="216">
        <v>1735</v>
      </c>
      <c r="L39" s="45">
        <v>2835</v>
      </c>
      <c r="M39" s="45">
        <v>2787</v>
      </c>
      <c r="N39" s="45" t="s">
        <v>59</v>
      </c>
      <c r="O39" s="45" t="s">
        <v>59</v>
      </c>
      <c r="P39" s="45">
        <v>4367</v>
      </c>
      <c r="Q39" s="45" t="s">
        <v>59</v>
      </c>
    </row>
    <row r="40" spans="2:17" ht="15" thickBot="1">
      <c r="J40" s="36" t="s">
        <v>263</v>
      </c>
      <c r="K40" s="222" t="s">
        <v>59</v>
      </c>
      <c r="L40" s="46">
        <v>1068</v>
      </c>
      <c r="M40" s="46">
        <v>1059</v>
      </c>
      <c r="N40" s="46" t="s">
        <v>59</v>
      </c>
      <c r="O40" s="46" t="s">
        <v>59</v>
      </c>
      <c r="P40" s="46">
        <v>1475</v>
      </c>
      <c r="Q40" s="46" t="s">
        <v>59</v>
      </c>
    </row>
    <row r="41" spans="2:17" ht="15" thickBot="1">
      <c r="J41" s="36" t="s">
        <v>264</v>
      </c>
      <c r="K41" s="222" t="s">
        <v>59</v>
      </c>
      <c r="L41" s="46">
        <v>1767</v>
      </c>
      <c r="M41" s="46">
        <v>1727</v>
      </c>
      <c r="N41" s="46" t="s">
        <v>59</v>
      </c>
      <c r="O41" s="46" t="s">
        <v>59</v>
      </c>
      <c r="P41" s="46">
        <v>2892</v>
      </c>
      <c r="Q41" s="46" t="s">
        <v>59</v>
      </c>
    </row>
    <row r="42" spans="2:17" ht="15" thickBot="1">
      <c r="J42" s="49" t="s">
        <v>64</v>
      </c>
      <c r="K42" s="216">
        <v>41217</v>
      </c>
      <c r="L42" s="45">
        <v>27435</v>
      </c>
      <c r="M42" s="45">
        <v>44696</v>
      </c>
      <c r="N42" s="45">
        <v>31766</v>
      </c>
      <c r="O42" s="45">
        <v>33732</v>
      </c>
      <c r="P42" s="45">
        <v>28584</v>
      </c>
      <c r="Q42" s="45">
        <v>30611</v>
      </c>
    </row>
    <row r="43" spans="2:17" ht="15" thickBot="1">
      <c r="J43" s="36" t="s">
        <v>157</v>
      </c>
      <c r="K43" s="222" t="s">
        <v>59</v>
      </c>
      <c r="L43" s="46">
        <v>10952</v>
      </c>
      <c r="M43" s="46">
        <v>15063</v>
      </c>
      <c r="N43" s="46" t="s">
        <v>59</v>
      </c>
      <c r="O43" s="46" t="s">
        <v>59</v>
      </c>
      <c r="P43" s="46">
        <v>8244</v>
      </c>
      <c r="Q43" s="46" t="s">
        <v>59</v>
      </c>
    </row>
    <row r="44" spans="2:17" ht="15" thickBot="1">
      <c r="J44" s="36" t="s">
        <v>265</v>
      </c>
      <c r="K44" s="222" t="s">
        <v>59</v>
      </c>
      <c r="L44" s="46">
        <v>3161</v>
      </c>
      <c r="M44" s="46">
        <v>5788</v>
      </c>
      <c r="N44" s="46" t="s">
        <v>59</v>
      </c>
      <c r="O44" s="46" t="s">
        <v>59</v>
      </c>
      <c r="P44" s="46">
        <v>5661</v>
      </c>
      <c r="Q44" s="46" t="s">
        <v>59</v>
      </c>
    </row>
    <row r="45" spans="2:17" ht="15" thickBot="1">
      <c r="J45" s="36" t="s">
        <v>266</v>
      </c>
      <c r="K45" s="222" t="s">
        <v>59</v>
      </c>
      <c r="L45" s="46">
        <v>2352</v>
      </c>
      <c r="M45" s="46">
        <v>4447</v>
      </c>
      <c r="N45" s="46" t="s">
        <v>59</v>
      </c>
      <c r="O45" s="46" t="s">
        <v>59</v>
      </c>
      <c r="P45" s="46">
        <v>2939</v>
      </c>
      <c r="Q45" s="46" t="s">
        <v>59</v>
      </c>
    </row>
    <row r="46" spans="2:17" ht="15" thickBot="1">
      <c r="J46" s="36" t="s">
        <v>267</v>
      </c>
      <c r="K46" s="222" t="s">
        <v>59</v>
      </c>
      <c r="L46" s="46">
        <v>1747</v>
      </c>
      <c r="M46" s="46">
        <v>3054</v>
      </c>
      <c r="N46" s="46" t="s">
        <v>59</v>
      </c>
      <c r="O46" s="46" t="s">
        <v>59</v>
      </c>
      <c r="P46" s="46">
        <v>2690</v>
      </c>
      <c r="Q46" s="46" t="s">
        <v>59</v>
      </c>
    </row>
    <row r="47" spans="2:17" ht="15" thickBot="1">
      <c r="J47" s="36" t="s">
        <v>268</v>
      </c>
      <c r="K47" s="222" t="s">
        <v>59</v>
      </c>
      <c r="L47" s="46">
        <v>2450</v>
      </c>
      <c r="M47" s="46">
        <v>2297</v>
      </c>
      <c r="N47" s="46" t="s">
        <v>59</v>
      </c>
      <c r="O47" s="46" t="s">
        <v>59</v>
      </c>
      <c r="P47" s="46">
        <v>327</v>
      </c>
      <c r="Q47" s="46" t="s">
        <v>59</v>
      </c>
    </row>
    <row r="48" spans="2:17" ht="16.2" thickBot="1">
      <c r="B48" s="1056" t="s">
        <v>253</v>
      </c>
      <c r="C48" s="1057"/>
      <c r="D48" s="1057"/>
      <c r="E48" s="1057"/>
      <c r="F48" s="1057"/>
      <c r="J48" s="36" t="s">
        <v>269</v>
      </c>
      <c r="K48" s="222" t="s">
        <v>59</v>
      </c>
      <c r="L48" s="46">
        <v>1729</v>
      </c>
      <c r="M48" s="46">
        <v>2269</v>
      </c>
      <c r="N48" s="46" t="s">
        <v>59</v>
      </c>
      <c r="O48" s="46" t="s">
        <v>59</v>
      </c>
      <c r="P48" s="46">
        <v>3700</v>
      </c>
      <c r="Q48" s="46" t="s">
        <v>59</v>
      </c>
    </row>
    <row r="49" spans="2:17" ht="15" thickBot="1">
      <c r="B49" s="1058" t="s">
        <v>1791</v>
      </c>
      <c r="C49" s="1057"/>
      <c r="D49" s="1057"/>
      <c r="E49" s="1057"/>
      <c r="F49" s="1057"/>
      <c r="J49" s="36" t="s">
        <v>270</v>
      </c>
      <c r="K49" s="222" t="s">
        <v>59</v>
      </c>
      <c r="L49" s="46">
        <v>5044</v>
      </c>
      <c r="M49" s="46">
        <v>11778</v>
      </c>
      <c r="N49" s="46" t="s">
        <v>59</v>
      </c>
      <c r="O49" s="46" t="s">
        <v>59</v>
      </c>
      <c r="P49" s="46">
        <v>8054</v>
      </c>
      <c r="Q49" s="46" t="s">
        <v>59</v>
      </c>
    </row>
    <row r="50" spans="2:17" ht="12" customHeight="1">
      <c r="B50" s="1064"/>
      <c r="C50" s="1059">
        <v>2018</v>
      </c>
      <c r="D50" s="1059">
        <v>2006</v>
      </c>
      <c r="E50" s="1059">
        <v>1998</v>
      </c>
      <c r="F50" s="1057"/>
      <c r="J50" s="10" t="s">
        <v>1752</v>
      </c>
    </row>
    <row r="51" spans="2:17" ht="15" thickBot="1">
      <c r="B51" s="1065" t="s">
        <v>53</v>
      </c>
      <c r="C51" s="1066">
        <v>19</v>
      </c>
      <c r="D51" s="1062">
        <v>120</v>
      </c>
      <c r="E51" s="1062">
        <v>197</v>
      </c>
      <c r="F51" s="1057"/>
    </row>
    <row r="52" spans="2:17" ht="15" thickBot="1">
      <c r="B52" s="1065" t="s">
        <v>473</v>
      </c>
      <c r="C52" s="1066">
        <v>105</v>
      </c>
      <c r="D52" s="1062">
        <v>349</v>
      </c>
      <c r="E52" s="1062">
        <v>445</v>
      </c>
      <c r="F52" s="1057"/>
    </row>
    <row r="53" spans="2:17" ht="15" thickBot="1">
      <c r="B53" s="1065" t="s">
        <v>262</v>
      </c>
      <c r="C53" s="1066">
        <v>27</v>
      </c>
      <c r="D53" s="1062">
        <v>59</v>
      </c>
      <c r="E53" s="1062">
        <v>119</v>
      </c>
      <c r="F53" s="1057"/>
    </row>
    <row r="54" spans="2:17" ht="15" thickBot="1">
      <c r="B54" s="1065" t="s">
        <v>64</v>
      </c>
      <c r="C54" s="1066">
        <v>166</v>
      </c>
      <c r="D54" s="1062">
        <v>448</v>
      </c>
      <c r="E54" s="1062">
        <v>517</v>
      </c>
      <c r="F54" s="1057"/>
    </row>
    <row r="55" spans="2:17">
      <c r="C55" s="139"/>
    </row>
  </sheetData>
  <hyperlinks>
    <hyperlink ref="B13" r:id="rId1" display="Source: Statistics Norway, Census of Agriculture 2010 " xr:uid="{00000000-0004-0000-1E00-000000000000}"/>
    <hyperlink ref="J50" r:id="rId2" xr:uid="{00000000-0004-0000-1E00-000001000000}"/>
  </hyperlinks>
  <pageMargins left="0.7" right="0.7" top="0.78740157499999996" bottom="0.78740157499999996" header="0.3" footer="0.3"/>
  <pageSetup paperSize="9" orientation="portrait" r:id="rId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00B050"/>
  </sheetPr>
  <dimension ref="B3:Q145"/>
  <sheetViews>
    <sheetView topLeftCell="A66" zoomScale="85" zoomScaleNormal="85" workbookViewId="0">
      <selection activeCell="C85" sqref="C85"/>
    </sheetView>
  </sheetViews>
  <sheetFormatPr defaultColWidth="11.44140625" defaultRowHeight="14.4"/>
  <cols>
    <col min="2" max="2" width="25.88671875" customWidth="1"/>
    <col min="4" max="4" width="17.6640625" customWidth="1"/>
    <col min="5" max="5" width="14.33203125" customWidth="1"/>
    <col min="7" max="7" width="18.33203125" customWidth="1"/>
    <col min="8" max="8" width="11.109375" customWidth="1"/>
  </cols>
  <sheetData>
    <row r="3" spans="2:4">
      <c r="B3" t="s">
        <v>596</v>
      </c>
    </row>
    <row r="4" spans="2:4" ht="15.6">
      <c r="B4" s="83" t="s">
        <v>1325</v>
      </c>
    </row>
    <row r="5" spans="2:4" ht="15.6">
      <c r="B5" s="83"/>
    </row>
    <row r="6" spans="2:4" ht="15.6">
      <c r="B6" s="83"/>
    </row>
    <row r="7" spans="2:4" ht="15.6">
      <c r="B7" s="83" t="s">
        <v>2417</v>
      </c>
    </row>
    <row r="8" spans="2:4" ht="15.6">
      <c r="B8" s="83"/>
    </row>
    <row r="9" spans="2:4" ht="15" customHeight="1">
      <c r="B9" s="13" t="s">
        <v>530</v>
      </c>
      <c r="C9" s="247">
        <v>36.700000000000003</v>
      </c>
      <c r="D9" s="240" t="s">
        <v>531</v>
      </c>
    </row>
    <row r="10" spans="2:4">
      <c r="B10" s="13" t="s">
        <v>532</v>
      </c>
      <c r="C10" s="247" t="s">
        <v>1326</v>
      </c>
      <c r="D10" s="240" t="s">
        <v>533</v>
      </c>
    </row>
    <row r="11" spans="2:4">
      <c r="B11" s="242" t="s">
        <v>534</v>
      </c>
      <c r="C11" s="243">
        <v>120</v>
      </c>
      <c r="D11" s="244" t="s">
        <v>535</v>
      </c>
    </row>
    <row r="12" spans="2:4" ht="15" customHeight="1">
      <c r="B12" s="245"/>
      <c r="C12" s="246"/>
      <c r="D12" s="240"/>
    </row>
    <row r="13" spans="2:4" ht="15.6">
      <c r="B13" s="13" t="s">
        <v>536</v>
      </c>
      <c r="C13" s="247">
        <v>788</v>
      </c>
      <c r="D13" s="240" t="s">
        <v>537</v>
      </c>
    </row>
    <row r="14" spans="2:4" ht="15" customHeight="1">
      <c r="B14" s="245" t="s">
        <v>538</v>
      </c>
      <c r="C14" s="246">
        <v>21560</v>
      </c>
      <c r="D14" s="240" t="s">
        <v>539</v>
      </c>
    </row>
    <row r="15" spans="2:4">
      <c r="B15" s="13" t="s">
        <v>540</v>
      </c>
      <c r="C15" s="247">
        <v>1780</v>
      </c>
      <c r="D15" s="240" t="s">
        <v>537</v>
      </c>
    </row>
    <row r="16" spans="2:4">
      <c r="B16" s="245" t="s">
        <v>541</v>
      </c>
      <c r="C16" s="246"/>
      <c r="D16" s="240"/>
    </row>
    <row r="17" spans="2:7">
      <c r="B17" s="245" t="s">
        <v>538</v>
      </c>
      <c r="C17" s="246">
        <v>48680</v>
      </c>
      <c r="D17" s="240" t="s">
        <v>542</v>
      </c>
    </row>
    <row r="18" spans="2:7" ht="15" customHeight="1">
      <c r="B18" s="248"/>
      <c r="C18" s="249"/>
      <c r="D18" s="244"/>
    </row>
    <row r="19" spans="2:7">
      <c r="B19" s="13" t="s">
        <v>543</v>
      </c>
      <c r="C19" s="239">
        <v>2.9</v>
      </c>
      <c r="D19" s="240" t="s">
        <v>544</v>
      </c>
    </row>
    <row r="20" spans="2:7">
      <c r="B20" s="13" t="s">
        <v>545</v>
      </c>
      <c r="C20" s="239">
        <v>3.3</v>
      </c>
      <c r="D20" s="240" t="s">
        <v>546</v>
      </c>
    </row>
    <row r="21" spans="2:7">
      <c r="B21" s="245"/>
      <c r="C21" s="246"/>
      <c r="D21" s="246"/>
      <c r="E21" s="240"/>
    </row>
    <row r="22" spans="2:7">
      <c r="B22" s="250" t="s">
        <v>712</v>
      </c>
      <c r="C22" s="251"/>
      <c r="D22" s="251"/>
      <c r="E22" s="251"/>
    </row>
    <row r="23" spans="2:7">
      <c r="B23" s="252" t="s">
        <v>2415</v>
      </c>
      <c r="C23" s="253"/>
      <c r="D23" s="253"/>
      <c r="E23" s="82"/>
    </row>
    <row r="26" spans="2:7" ht="15.6">
      <c r="B26" s="86" t="s">
        <v>1327</v>
      </c>
      <c r="C26" s="7"/>
      <c r="D26" s="7"/>
      <c r="E26" s="7"/>
    </row>
    <row r="27" spans="2:7">
      <c r="B27" s="290" t="s">
        <v>4</v>
      </c>
      <c r="C27" s="290"/>
      <c r="D27" s="290"/>
      <c r="E27" s="290"/>
      <c r="F27" s="775"/>
    </row>
    <row r="28" spans="2:7" ht="40.200000000000003">
      <c r="B28" s="368" t="s">
        <v>751</v>
      </c>
      <c r="C28" s="515" t="s">
        <v>1878</v>
      </c>
      <c r="D28" s="515" t="s">
        <v>1328</v>
      </c>
      <c r="E28" s="515" t="s">
        <v>344</v>
      </c>
      <c r="F28" s="515" t="s">
        <v>3</v>
      </c>
    </row>
    <row r="29" spans="2:7" ht="15.6">
      <c r="B29" s="462" t="s">
        <v>2422</v>
      </c>
      <c r="C29">
        <v>125</v>
      </c>
      <c r="D29">
        <v>417</v>
      </c>
      <c r="E29">
        <v>329</v>
      </c>
      <c r="F29">
        <v>871</v>
      </c>
    </row>
    <row r="30" spans="2:7" ht="15.6">
      <c r="B30" s="462" t="s">
        <v>1963</v>
      </c>
      <c r="C30" s="290">
        <v>126</v>
      </c>
      <c r="D30" s="290">
        <v>418</v>
      </c>
      <c r="E30" s="290">
        <v>328</v>
      </c>
      <c r="F30" s="290">
        <v>872</v>
      </c>
    </row>
    <row r="31" spans="2:7" ht="15.6">
      <c r="B31" s="462" t="s">
        <v>1867</v>
      </c>
      <c r="C31" s="777">
        <v>125</v>
      </c>
      <c r="D31" s="777">
        <v>416</v>
      </c>
      <c r="E31" s="777">
        <v>324</v>
      </c>
      <c r="F31" s="777">
        <f>C31+D31+E31</f>
        <v>865</v>
      </c>
      <c r="G31" s="779"/>
    </row>
    <row r="32" spans="2:7" ht="15.6">
      <c r="B32" s="462" t="s">
        <v>1868</v>
      </c>
      <c r="C32" s="777">
        <v>124</v>
      </c>
      <c r="D32" s="777">
        <v>415</v>
      </c>
      <c r="E32" s="777">
        <v>320</v>
      </c>
      <c r="F32" s="777">
        <f>C32+D32+E32</f>
        <v>859</v>
      </c>
      <c r="G32" s="779"/>
    </row>
    <row r="33" spans="2:17" ht="15.6">
      <c r="B33" s="462" t="s">
        <v>1869</v>
      </c>
      <c r="C33" s="777">
        <v>122</v>
      </c>
      <c r="D33" s="777">
        <v>412</v>
      </c>
      <c r="E33" s="777">
        <v>310</v>
      </c>
      <c r="F33" s="778">
        <v>841</v>
      </c>
      <c r="G33" s="779"/>
    </row>
    <row r="34" spans="2:17" ht="15.6">
      <c r="B34" s="462" t="s">
        <v>1870</v>
      </c>
      <c r="C34" s="777">
        <v>120</v>
      </c>
      <c r="D34" s="777">
        <v>409</v>
      </c>
      <c r="E34" s="777">
        <v>300</v>
      </c>
      <c r="F34" s="778">
        <v>829</v>
      </c>
      <c r="G34" s="779"/>
    </row>
    <row r="35" spans="2:17" ht="15.6">
      <c r="B35" s="462" t="s">
        <v>1871</v>
      </c>
      <c r="C35" s="777">
        <v>121</v>
      </c>
      <c r="D35" s="777">
        <v>409</v>
      </c>
      <c r="E35" s="777">
        <v>295</v>
      </c>
      <c r="F35" s="778">
        <v>825</v>
      </c>
      <c r="G35" s="779"/>
    </row>
    <row r="36" spans="2:17" ht="15.6">
      <c r="B36" s="462" t="s">
        <v>1872</v>
      </c>
      <c r="C36" s="777">
        <v>121</v>
      </c>
      <c r="D36" s="777">
        <v>407</v>
      </c>
      <c r="E36" s="777">
        <v>288</v>
      </c>
      <c r="F36" s="778">
        <v>816</v>
      </c>
      <c r="G36" s="779"/>
    </row>
    <row r="37" spans="2:17">
      <c r="B37" s="776">
        <v>2016</v>
      </c>
      <c r="C37" s="777">
        <v>120</v>
      </c>
      <c r="D37" s="777">
        <v>406</v>
      </c>
      <c r="E37" s="777">
        <v>276</v>
      </c>
      <c r="F37" s="778">
        <v>802</v>
      </c>
      <c r="G37" s="779"/>
    </row>
    <row r="38" spans="2:17">
      <c r="B38" s="776">
        <v>2015</v>
      </c>
      <c r="C38" s="777">
        <v>118.30501183050119</v>
      </c>
      <c r="D38" s="777">
        <v>401.52004015200401</v>
      </c>
      <c r="E38" s="777">
        <v>273.65502736550275</v>
      </c>
      <c r="F38" s="778">
        <v>793.48007934800796</v>
      </c>
    </row>
    <row r="39" spans="2:17">
      <c r="B39" s="776">
        <v>2014</v>
      </c>
      <c r="C39" s="777">
        <v>117.10441411944649</v>
      </c>
      <c r="D39" s="777">
        <v>383.5767033912482</v>
      </c>
      <c r="E39" s="777">
        <v>265.27734627058288</v>
      </c>
      <c r="F39" s="778">
        <v>765.9584637812776</v>
      </c>
    </row>
    <row r="40" spans="2:17">
      <c r="B40" s="280" t="s">
        <v>1329</v>
      </c>
      <c r="C40" s="780"/>
      <c r="D40" s="780"/>
      <c r="E40" s="780"/>
    </row>
    <row r="41" spans="2:17">
      <c r="B41" s="77" t="s">
        <v>2423</v>
      </c>
    </row>
    <row r="43" spans="2:17">
      <c r="D43" s="134"/>
    </row>
    <row r="44" spans="2:17" ht="15.6">
      <c r="B44" s="83" t="s">
        <v>1330</v>
      </c>
      <c r="C44" s="83"/>
      <c r="D44" s="83"/>
      <c r="E44" s="376"/>
      <c r="F44" s="376"/>
      <c r="G44" s="376"/>
      <c r="H44" s="376"/>
      <c r="I44" s="376"/>
      <c r="J44" s="376"/>
      <c r="K44" s="376"/>
      <c r="L44" s="376"/>
      <c r="M44" s="376"/>
      <c r="N44" s="376"/>
      <c r="O44" s="376"/>
      <c r="P44" s="376"/>
      <c r="Q44" s="376"/>
    </row>
    <row r="45" spans="2:17" ht="15.6">
      <c r="B45" s="93" t="s">
        <v>1331</v>
      </c>
      <c r="C45" s="93"/>
      <c r="D45" s="93"/>
      <c r="E45" s="376"/>
      <c r="F45" s="376"/>
      <c r="G45" s="376"/>
      <c r="H45" s="376"/>
      <c r="I45" s="376"/>
      <c r="J45" s="376"/>
      <c r="K45" s="376"/>
      <c r="L45" s="376"/>
      <c r="M45" s="376"/>
      <c r="N45" s="376"/>
      <c r="O45" s="376"/>
      <c r="P45" s="376"/>
      <c r="Q45" s="376"/>
    </row>
    <row r="46" spans="2:17">
      <c r="B46" s="115"/>
      <c r="C46" s="115" t="s">
        <v>2064</v>
      </c>
      <c r="D46" s="115" t="s">
        <v>1919</v>
      </c>
      <c r="E46" s="115" t="s">
        <v>1680</v>
      </c>
      <c r="F46" s="115" t="s">
        <v>1190</v>
      </c>
      <c r="G46" s="115" t="s">
        <v>505</v>
      </c>
      <c r="H46" s="115" t="s">
        <v>471</v>
      </c>
      <c r="I46" s="115" t="s">
        <v>453</v>
      </c>
      <c r="J46" s="115" t="s">
        <v>1332</v>
      </c>
      <c r="K46" s="115" t="s">
        <v>1333</v>
      </c>
      <c r="L46" s="115" t="s">
        <v>1334</v>
      </c>
      <c r="M46" s="115" t="s">
        <v>1335</v>
      </c>
      <c r="N46" s="94"/>
      <c r="O46" s="94"/>
    </row>
    <row r="47" spans="2:17" ht="20.399999999999999">
      <c r="B47" s="781" t="s">
        <v>1877</v>
      </c>
      <c r="C47" s="6">
        <v>3630</v>
      </c>
      <c r="D47" s="102">
        <v>3768</v>
      </c>
      <c r="E47" s="1132">
        <v>3801</v>
      </c>
      <c r="F47" s="1132">
        <v>3830</v>
      </c>
      <c r="G47" s="1132">
        <v>3844</v>
      </c>
      <c r="H47" s="1132">
        <v>3845</v>
      </c>
      <c r="I47" s="973">
        <v>3849</v>
      </c>
      <c r="J47" s="355">
        <v>3847</v>
      </c>
      <c r="K47" s="355">
        <v>3845</v>
      </c>
      <c r="L47" s="355">
        <v>3840</v>
      </c>
      <c r="M47" s="355">
        <v>3838</v>
      </c>
      <c r="N47" s="39"/>
      <c r="O47" s="39"/>
    </row>
    <row r="48" spans="2:17" ht="20.399999999999999">
      <c r="B48" s="571" t="s">
        <v>1337</v>
      </c>
      <c r="C48" s="6">
        <v>1271</v>
      </c>
      <c r="D48" s="102">
        <v>1495</v>
      </c>
      <c r="E48" s="1132">
        <f>E80</f>
        <v>1591</v>
      </c>
      <c r="F48" s="1132">
        <f>F80</f>
        <v>1579</v>
      </c>
      <c r="G48" s="1132">
        <f>G80</f>
        <v>1575</v>
      </c>
      <c r="H48" s="1132">
        <f>H80</f>
        <v>1583</v>
      </c>
      <c r="I48" s="973">
        <v>1585</v>
      </c>
      <c r="J48" s="355">
        <v>1582</v>
      </c>
      <c r="K48" s="355">
        <v>1615</v>
      </c>
      <c r="L48" s="355">
        <v>1615</v>
      </c>
      <c r="M48" s="355">
        <v>1613</v>
      </c>
      <c r="N48" s="39"/>
      <c r="O48" s="39"/>
    </row>
    <row r="49" spans="2:15">
      <c r="B49" s="782" t="s">
        <v>70</v>
      </c>
      <c r="C49" s="6">
        <v>7211</v>
      </c>
      <c r="D49" s="102">
        <v>7240</v>
      </c>
      <c r="E49" s="1132">
        <f>E60</f>
        <v>7174</v>
      </c>
      <c r="F49" s="1132">
        <v>7138</v>
      </c>
      <c r="G49" s="1132">
        <v>7053</v>
      </c>
      <c r="H49" s="1132">
        <v>7013</v>
      </c>
      <c r="I49" s="973">
        <v>6999</v>
      </c>
      <c r="J49" s="783">
        <v>6975</v>
      </c>
      <c r="K49" s="783">
        <v>6900</v>
      </c>
      <c r="L49" s="783">
        <v>6895</v>
      </c>
      <c r="M49" s="783">
        <v>6889</v>
      </c>
      <c r="N49" s="39"/>
      <c r="O49" s="39"/>
    </row>
    <row r="50" spans="2:15">
      <c r="B50" s="127" t="s">
        <v>3</v>
      </c>
      <c r="C50" s="73">
        <v>12112</v>
      </c>
      <c r="D50" s="73">
        <v>12503</v>
      </c>
      <c r="E50" s="73">
        <f>E47+E48+E49</f>
        <v>12566</v>
      </c>
      <c r="F50" s="73">
        <f>F47+F48+F49</f>
        <v>12547</v>
      </c>
      <c r="G50" s="73">
        <v>12469</v>
      </c>
      <c r="H50" s="73">
        <f>H47+H48+H49</f>
        <v>12441</v>
      </c>
      <c r="I50" s="73">
        <f>I47+I48+I49</f>
        <v>12433</v>
      </c>
      <c r="J50" s="73">
        <f>J47+J48+J49</f>
        <v>12404</v>
      </c>
      <c r="K50" s="73">
        <v>12360</v>
      </c>
      <c r="L50" s="73">
        <v>12350</v>
      </c>
      <c r="M50" s="73">
        <v>12340</v>
      </c>
      <c r="N50" s="126"/>
      <c r="O50" s="126"/>
    </row>
    <row r="51" spans="2:15">
      <c r="B51" s="1575" t="s">
        <v>1338</v>
      </c>
      <c r="C51" s="1575"/>
      <c r="D51" s="1575"/>
      <c r="E51" s="1575"/>
      <c r="F51" s="1575"/>
      <c r="G51" s="1575"/>
      <c r="H51" s="1575"/>
      <c r="I51" s="1575"/>
      <c r="J51" s="1575"/>
      <c r="K51" s="1575"/>
      <c r="L51" s="1575"/>
      <c r="M51" s="1575"/>
    </row>
    <row r="52" spans="2:15">
      <c r="B52" s="1575" t="s">
        <v>2424</v>
      </c>
      <c r="C52" s="1575"/>
      <c r="D52" s="1575"/>
      <c r="E52" s="1575"/>
      <c r="F52" s="1575"/>
      <c r="G52" s="1575"/>
      <c r="H52" s="1575"/>
      <c r="I52" s="1575"/>
      <c r="J52" s="1575"/>
      <c r="K52" s="1575"/>
      <c r="L52" s="1575"/>
      <c r="M52" s="1575"/>
    </row>
    <row r="53" spans="2:15">
      <c r="B53" s="1575" t="s">
        <v>1339</v>
      </c>
      <c r="C53" s="1575"/>
      <c r="D53" s="1575"/>
      <c r="E53" s="1575"/>
      <c r="F53" s="1575"/>
      <c r="G53" s="1575"/>
      <c r="H53" s="1575"/>
      <c r="I53" s="1575"/>
      <c r="J53" s="1575"/>
      <c r="K53" s="1575"/>
      <c r="L53" s="1575"/>
      <c r="M53" s="1575"/>
    </row>
    <row r="54" spans="2:15">
      <c r="B54" s="92" t="s">
        <v>1340</v>
      </c>
      <c r="C54" s="92"/>
      <c r="D54" s="92"/>
      <c r="E54" s="784"/>
      <c r="F54" s="784"/>
      <c r="G54" s="784"/>
      <c r="H54" s="784"/>
      <c r="I54" s="784"/>
      <c r="J54" s="784"/>
      <c r="K54" s="784"/>
      <c r="L54" s="784"/>
      <c r="M54" s="784"/>
    </row>
    <row r="55" spans="2:15">
      <c r="B55" s="92"/>
      <c r="C55" s="92"/>
      <c r="D55" s="92"/>
    </row>
    <row r="56" spans="2:15">
      <c r="C56" s="23">
        <f>E47+E48</f>
        <v>5392</v>
      </c>
    </row>
    <row r="57" spans="2:15" ht="15.6">
      <c r="B57" s="86" t="s">
        <v>70</v>
      </c>
      <c r="E57" s="86"/>
      <c r="F57" s="86"/>
      <c r="G57" s="86"/>
    </row>
    <row r="58" spans="2:15" ht="15.6">
      <c r="B58" s="81" t="s">
        <v>46</v>
      </c>
      <c r="E58" s="86"/>
      <c r="F58" s="86"/>
      <c r="G58" s="86"/>
    </row>
    <row r="59" spans="2:15">
      <c r="B59" s="115"/>
      <c r="C59" s="115" t="s">
        <v>2425</v>
      </c>
      <c r="D59" s="115" t="s">
        <v>1964</v>
      </c>
      <c r="E59" s="115" t="s">
        <v>1873</v>
      </c>
      <c r="F59" s="115" t="s">
        <v>1874</v>
      </c>
      <c r="G59" s="115" t="s">
        <v>1875</v>
      </c>
      <c r="H59" s="115" t="s">
        <v>1876</v>
      </c>
      <c r="I59" s="115" t="s">
        <v>1341</v>
      </c>
      <c r="J59" s="115" t="s">
        <v>1342</v>
      </c>
      <c r="K59" s="115" t="s">
        <v>1343</v>
      </c>
      <c r="L59" s="115" t="s">
        <v>1335</v>
      </c>
      <c r="M59" s="115" t="s">
        <v>1336</v>
      </c>
    </row>
    <row r="60" spans="2:15">
      <c r="B60" s="785" t="s">
        <v>89</v>
      </c>
      <c r="C60" s="1322">
        <v>7211</v>
      </c>
      <c r="D60" s="1459">
        <v>7240</v>
      </c>
      <c r="E60" s="1133">
        <f>E62+E63+E64+E65+E66+E68+E70</f>
        <v>7174</v>
      </c>
      <c r="F60" s="1133">
        <f>F62+F63+F64+F65+F66+F68+F70</f>
        <v>7138</v>
      </c>
      <c r="G60" s="1133">
        <f t="shared" ref="G60:H60" si="0">G62+G63+G64+G65+G66+G68+G70</f>
        <v>7053</v>
      </c>
      <c r="H60" s="1133">
        <f t="shared" si="0"/>
        <v>7013</v>
      </c>
      <c r="I60" s="691">
        <f>I61+I62+I63+I64+I65+I66+I68+I70</f>
        <v>6999</v>
      </c>
      <c r="J60" s="691">
        <f>J61+J62+J63+J64+J65+J66+J68+J70</f>
        <v>6975</v>
      </c>
      <c r="K60" s="691">
        <v>6900</v>
      </c>
      <c r="L60" s="691">
        <v>6842</v>
      </c>
      <c r="M60" s="691">
        <v>6747</v>
      </c>
    </row>
    <row r="61" spans="2:15">
      <c r="B61" s="684" t="s">
        <v>51</v>
      </c>
      <c r="C61" s="1206"/>
      <c r="D61" s="1342"/>
      <c r="F61" s="1134"/>
      <c r="G61" s="1134"/>
      <c r="H61" s="1134"/>
      <c r="I61" s="691"/>
      <c r="J61" s="601"/>
      <c r="K61" s="601"/>
      <c r="L61" s="601"/>
      <c r="M61" s="601"/>
    </row>
    <row r="62" spans="2:15">
      <c r="B62" s="786" t="s">
        <v>1344</v>
      </c>
      <c r="C62" s="1323">
        <v>1300</v>
      </c>
      <c r="D62" s="1460">
        <v>1360</v>
      </c>
      <c r="E62" s="1134">
        <v>1375</v>
      </c>
      <c r="F62" s="1134">
        <v>1386</v>
      </c>
      <c r="G62" s="1134">
        <v>1395</v>
      </c>
      <c r="H62" s="1134">
        <v>1401</v>
      </c>
      <c r="I62" s="1134">
        <v>1409</v>
      </c>
      <c r="J62" s="601">
        <v>1432</v>
      </c>
      <c r="K62" s="601">
        <v>1460</v>
      </c>
      <c r="L62" s="601">
        <v>1470</v>
      </c>
      <c r="M62" s="601">
        <v>1510</v>
      </c>
    </row>
    <row r="63" spans="2:15">
      <c r="B63" s="786" t="s">
        <v>1345</v>
      </c>
      <c r="C63" s="1323">
        <v>2335</v>
      </c>
      <c r="D63" s="1460">
        <v>2330</v>
      </c>
      <c r="E63" s="1134">
        <v>2340</v>
      </c>
      <c r="F63" s="1134">
        <v>2346</v>
      </c>
      <c r="G63" s="1134">
        <v>2345</v>
      </c>
      <c r="H63" s="1134">
        <v>2350</v>
      </c>
      <c r="I63" s="1134">
        <v>2383</v>
      </c>
      <c r="J63" s="601">
        <v>2391</v>
      </c>
      <c r="K63" s="601">
        <v>2407</v>
      </c>
      <c r="L63" s="601">
        <v>2395</v>
      </c>
      <c r="M63" s="601">
        <v>2363</v>
      </c>
    </row>
    <row r="64" spans="2:15">
      <c r="B64" s="786" t="s">
        <v>1346</v>
      </c>
      <c r="C64" s="1323">
        <v>625</v>
      </c>
      <c r="D64" s="1460">
        <v>620</v>
      </c>
      <c r="E64" s="1134">
        <v>595</v>
      </c>
      <c r="F64" s="1134">
        <v>581</v>
      </c>
      <c r="G64" s="1134">
        <v>564</v>
      </c>
      <c r="H64" s="1134">
        <v>560</v>
      </c>
      <c r="I64" s="1134">
        <v>557</v>
      </c>
      <c r="J64" s="601">
        <v>560</v>
      </c>
      <c r="K64" s="601">
        <v>565</v>
      </c>
      <c r="L64" s="601">
        <v>574</v>
      </c>
      <c r="M64" s="601">
        <v>575</v>
      </c>
    </row>
    <row r="65" spans="2:13">
      <c r="B65" s="786" t="s">
        <v>1347</v>
      </c>
      <c r="C65" s="1323">
        <v>470</v>
      </c>
      <c r="D65" s="1460">
        <v>465</v>
      </c>
      <c r="E65" s="1134">
        <v>450</v>
      </c>
      <c r="F65" s="1134">
        <v>445</v>
      </c>
      <c r="G65" s="1134">
        <v>436</v>
      </c>
      <c r="H65" s="1134">
        <v>432</v>
      </c>
      <c r="I65" s="1134">
        <v>430</v>
      </c>
      <c r="J65" s="601">
        <v>421</v>
      </c>
      <c r="K65" s="601">
        <v>405</v>
      </c>
      <c r="L65" s="601">
        <v>387</v>
      </c>
      <c r="M65" s="601">
        <v>345</v>
      </c>
    </row>
    <row r="66" spans="2:13">
      <c r="B66" s="786" t="s">
        <v>1348</v>
      </c>
      <c r="C66" s="1323">
        <v>1470</v>
      </c>
      <c r="D66" s="1460">
        <v>1467</v>
      </c>
      <c r="E66" s="1134">
        <v>1440</v>
      </c>
      <c r="F66" s="1134">
        <v>1422</v>
      </c>
      <c r="G66" s="1134">
        <v>1389</v>
      </c>
      <c r="H66" s="1134">
        <v>1361</v>
      </c>
      <c r="I66" s="1134">
        <v>1320</v>
      </c>
      <c r="J66" s="601">
        <v>1300</v>
      </c>
      <c r="K66" s="601">
        <v>1220</v>
      </c>
      <c r="L66" s="601">
        <v>1215</v>
      </c>
      <c r="M66" s="601">
        <v>1175</v>
      </c>
    </row>
    <row r="67" spans="2:13">
      <c r="B67" s="787" t="s">
        <v>1349</v>
      </c>
      <c r="C67" s="1322"/>
      <c r="D67" s="1459"/>
      <c r="E67" s="1134"/>
      <c r="F67" s="1134"/>
      <c r="G67" s="1134"/>
      <c r="H67" s="1134"/>
      <c r="I67" s="1134"/>
      <c r="J67" s="694"/>
      <c r="K67" s="694"/>
      <c r="L67" s="694"/>
      <c r="M67" s="694"/>
    </row>
    <row r="68" spans="2:13">
      <c r="B68" s="786" t="s">
        <v>1350</v>
      </c>
      <c r="C68" s="1323">
        <v>311</v>
      </c>
      <c r="D68" s="1460">
        <v>310</v>
      </c>
      <c r="E68" s="1134">
        <v>302</v>
      </c>
      <c r="F68" s="1134">
        <v>298</v>
      </c>
      <c r="G68" s="1134">
        <v>290</v>
      </c>
      <c r="H68" s="1134">
        <v>284</v>
      </c>
      <c r="I68" s="1134">
        <v>279</v>
      </c>
      <c r="J68" s="601">
        <v>270</v>
      </c>
      <c r="K68" s="601">
        <v>268</v>
      </c>
      <c r="L68" s="601">
        <v>265</v>
      </c>
      <c r="M68" s="601">
        <v>260</v>
      </c>
    </row>
    <row r="69" spans="2:13">
      <c r="B69" s="571" t="s">
        <v>580</v>
      </c>
      <c r="C69" s="1322"/>
      <c r="D69" s="1459"/>
      <c r="E69" s="1134"/>
      <c r="F69" s="1134"/>
      <c r="G69" s="1134"/>
      <c r="H69" s="1134"/>
      <c r="I69" s="1134"/>
      <c r="J69" s="601"/>
      <c r="K69" s="601"/>
      <c r="L69" s="601"/>
      <c r="M69" s="601"/>
    </row>
    <row r="70" spans="2:13">
      <c r="B70" s="686" t="s">
        <v>1351</v>
      </c>
      <c r="C70" s="1323">
        <v>700</v>
      </c>
      <c r="D70" s="1460">
        <v>688</v>
      </c>
      <c r="E70" s="1134">
        <v>672</v>
      </c>
      <c r="F70" s="1134">
        <v>660</v>
      </c>
      <c r="G70" s="1134">
        <v>634</v>
      </c>
      <c r="H70" s="1134">
        <v>625</v>
      </c>
      <c r="I70" s="1134">
        <v>621</v>
      </c>
      <c r="J70" s="601">
        <v>601</v>
      </c>
      <c r="K70" s="601">
        <v>575</v>
      </c>
      <c r="L70" s="601">
        <v>536</v>
      </c>
      <c r="M70" s="601">
        <v>519</v>
      </c>
    </row>
    <row r="71" spans="2:13">
      <c r="B71" s="87" t="s">
        <v>1338</v>
      </c>
      <c r="C71" s="1118"/>
      <c r="D71" s="87"/>
      <c r="E71" s="87"/>
      <c r="F71" s="87"/>
      <c r="G71" s="87"/>
      <c r="H71" s="87"/>
      <c r="I71" s="87"/>
    </row>
    <row r="72" spans="2:13">
      <c r="B72" s="87" t="s">
        <v>2424</v>
      </c>
      <c r="C72" s="87"/>
      <c r="D72" s="87"/>
      <c r="E72" s="87"/>
      <c r="F72" s="87"/>
      <c r="G72" s="87"/>
      <c r="H72" s="87"/>
      <c r="I72" s="87"/>
    </row>
    <row r="73" spans="2:13">
      <c r="B73" s="87" t="s">
        <v>1352</v>
      </c>
      <c r="C73" s="87"/>
      <c r="D73" s="87"/>
      <c r="E73" s="87"/>
      <c r="F73" s="87"/>
      <c r="G73" s="87"/>
      <c r="H73" s="87"/>
      <c r="I73" s="87"/>
    </row>
    <row r="74" spans="2:13">
      <c r="B74" s="87" t="s">
        <v>1353</v>
      </c>
      <c r="E74" s="87"/>
      <c r="F74" s="87"/>
      <c r="G74" s="87"/>
      <c r="H74" s="87"/>
      <c r="I74" s="87"/>
    </row>
    <row r="75" spans="2:13" ht="15.6">
      <c r="B75" s="87"/>
      <c r="C75" s="86"/>
      <c r="D75" s="86"/>
      <c r="E75" s="87"/>
      <c r="F75" s="87"/>
      <c r="G75" s="87"/>
      <c r="H75" s="87"/>
      <c r="I75" s="87"/>
      <c r="J75" s="87"/>
    </row>
    <row r="76" spans="2:13">
      <c r="B76" s="87"/>
      <c r="C76" s="81"/>
      <c r="D76" s="81"/>
      <c r="E76" s="87"/>
      <c r="F76" s="87"/>
      <c r="G76" s="87"/>
      <c r="H76" s="87"/>
      <c r="I76" s="87"/>
      <c r="J76" s="87"/>
    </row>
    <row r="77" spans="2:13" ht="15.6">
      <c r="B77" s="86" t="s">
        <v>56</v>
      </c>
    </row>
    <row r="78" spans="2:13">
      <c r="B78" s="81" t="s">
        <v>1354</v>
      </c>
    </row>
    <row r="79" spans="2:13">
      <c r="B79" s="115"/>
      <c r="C79" s="115" t="s">
        <v>2425</v>
      </c>
      <c r="D79" s="115" t="s">
        <v>1964</v>
      </c>
      <c r="E79" s="115" t="s">
        <v>1873</v>
      </c>
      <c r="F79" s="115" t="s">
        <v>1874</v>
      </c>
      <c r="G79" s="115" t="s">
        <v>1355</v>
      </c>
      <c r="H79" s="115" t="s">
        <v>1356</v>
      </c>
      <c r="I79" s="115" t="s">
        <v>1341</v>
      </c>
      <c r="J79" s="115" t="s">
        <v>1342</v>
      </c>
      <c r="K79" s="115" t="s">
        <v>1343</v>
      </c>
      <c r="L79" s="115" t="s">
        <v>1335</v>
      </c>
      <c r="M79" s="115" t="s">
        <v>1336</v>
      </c>
    </row>
    <row r="80" spans="2:13">
      <c r="B80" s="593" t="s">
        <v>52</v>
      </c>
      <c r="C80" s="1322">
        <v>1271</v>
      </c>
      <c r="D80" s="1459">
        <v>1495</v>
      </c>
      <c r="E80" s="1135">
        <f t="shared" ref="E80:J80" si="1">E81+E82+E83+E85+E86+E87</f>
        <v>1591</v>
      </c>
      <c r="F80" s="1135">
        <f t="shared" si="1"/>
        <v>1579</v>
      </c>
      <c r="G80" s="1135">
        <f t="shared" si="1"/>
        <v>1575</v>
      </c>
      <c r="H80" s="691">
        <f t="shared" si="1"/>
        <v>1583</v>
      </c>
      <c r="I80" s="691">
        <f t="shared" si="1"/>
        <v>1585</v>
      </c>
      <c r="J80" s="691">
        <f t="shared" si="1"/>
        <v>1582</v>
      </c>
      <c r="K80" s="691">
        <v>1615</v>
      </c>
      <c r="L80" s="691">
        <f>SUM(L81:L87)</f>
        <v>1608</v>
      </c>
      <c r="M80" s="691">
        <v>1608</v>
      </c>
    </row>
    <row r="81" spans="2:13">
      <c r="B81" s="788" t="s">
        <v>1357</v>
      </c>
      <c r="C81" s="1323">
        <v>610</v>
      </c>
      <c r="D81" s="1460">
        <v>690</v>
      </c>
      <c r="E81" s="601">
        <v>731</v>
      </c>
      <c r="F81" s="601">
        <v>732</v>
      </c>
      <c r="G81" s="601">
        <v>730</v>
      </c>
      <c r="H81" s="355">
        <v>732</v>
      </c>
      <c r="I81" s="355">
        <v>735</v>
      </c>
      <c r="J81" s="355">
        <v>737</v>
      </c>
      <c r="K81" s="355">
        <v>750</v>
      </c>
      <c r="L81" s="355">
        <v>700</v>
      </c>
      <c r="M81" s="355">
        <v>700</v>
      </c>
    </row>
    <row r="82" spans="2:13">
      <c r="B82" s="686" t="s">
        <v>120</v>
      </c>
      <c r="C82" s="1324">
        <v>26</v>
      </c>
      <c r="D82" s="1461">
        <v>26</v>
      </c>
      <c r="E82" s="601">
        <v>27</v>
      </c>
      <c r="F82" s="601">
        <v>27</v>
      </c>
      <c r="G82" s="601">
        <v>26</v>
      </c>
      <c r="H82" s="601">
        <v>26</v>
      </c>
      <c r="I82" s="601">
        <v>26</v>
      </c>
      <c r="J82" s="601">
        <v>16</v>
      </c>
      <c r="K82" s="601">
        <v>16</v>
      </c>
      <c r="L82" s="601">
        <v>16</v>
      </c>
      <c r="M82" s="601">
        <v>16</v>
      </c>
    </row>
    <row r="83" spans="2:13">
      <c r="B83" s="686" t="s">
        <v>1092</v>
      </c>
      <c r="C83" s="1324">
        <v>100</v>
      </c>
      <c r="D83" s="1461">
        <v>98</v>
      </c>
      <c r="E83" s="601">
        <v>94</v>
      </c>
      <c r="F83" s="601">
        <v>89</v>
      </c>
      <c r="G83" s="601">
        <v>86</v>
      </c>
      <c r="H83" s="601">
        <v>84</v>
      </c>
      <c r="I83" s="601">
        <v>82</v>
      </c>
      <c r="J83" s="601">
        <v>79</v>
      </c>
      <c r="K83" s="601">
        <v>62</v>
      </c>
      <c r="L83" s="601">
        <v>60</v>
      </c>
      <c r="M83" s="601">
        <v>60</v>
      </c>
    </row>
    <row r="84" spans="2:13">
      <c r="B84" s="684" t="s">
        <v>134</v>
      </c>
      <c r="C84" s="1325"/>
      <c r="D84" s="1462"/>
      <c r="E84" s="601"/>
      <c r="F84" s="601"/>
      <c r="G84" s="601"/>
      <c r="H84" s="601"/>
      <c r="I84" s="601"/>
      <c r="J84" s="601"/>
      <c r="K84" s="601"/>
      <c r="L84" s="601"/>
      <c r="M84" s="601"/>
    </row>
    <row r="85" spans="2:13">
      <c r="B85" s="686" t="s">
        <v>1344</v>
      </c>
      <c r="C85" s="1324">
        <v>102</v>
      </c>
      <c r="D85" s="1461">
        <v>144</v>
      </c>
      <c r="E85" s="601">
        <v>167</v>
      </c>
      <c r="F85" s="601">
        <v>170</v>
      </c>
      <c r="G85" s="601">
        <v>173</v>
      </c>
      <c r="H85" s="601">
        <v>178</v>
      </c>
      <c r="I85" s="601">
        <v>179</v>
      </c>
      <c r="J85" s="601">
        <v>180</v>
      </c>
      <c r="K85" s="601">
        <v>185</v>
      </c>
      <c r="L85" s="601">
        <v>192</v>
      </c>
      <c r="M85" s="601">
        <v>194</v>
      </c>
    </row>
    <row r="86" spans="2:13">
      <c r="B86" s="686" t="s">
        <v>1358</v>
      </c>
      <c r="C86" s="1324">
        <v>38</v>
      </c>
      <c r="D86" s="1461">
        <v>39</v>
      </c>
      <c r="E86" s="601">
        <v>42</v>
      </c>
      <c r="F86" s="601">
        <v>39</v>
      </c>
      <c r="G86" s="601">
        <v>43</v>
      </c>
      <c r="H86" s="601">
        <v>44</v>
      </c>
      <c r="I86" s="601">
        <v>43</v>
      </c>
      <c r="J86" s="601">
        <v>47</v>
      </c>
      <c r="K86" s="601"/>
      <c r="L86" s="601">
        <v>65</v>
      </c>
      <c r="M86" s="601">
        <v>65</v>
      </c>
    </row>
    <row r="87" spans="2:13">
      <c r="B87" s="686" t="s">
        <v>1359</v>
      </c>
      <c r="C87" s="1324">
        <v>395</v>
      </c>
      <c r="D87" s="1461">
        <v>498</v>
      </c>
      <c r="E87" s="601">
        <v>530</v>
      </c>
      <c r="F87" s="601">
        <v>522</v>
      </c>
      <c r="G87" s="601">
        <v>517</v>
      </c>
      <c r="H87" s="601">
        <v>519</v>
      </c>
      <c r="I87" s="601">
        <v>520</v>
      </c>
      <c r="J87" s="355">
        <v>523</v>
      </c>
      <c r="K87" s="355">
        <v>535</v>
      </c>
      <c r="L87" s="355">
        <v>575</v>
      </c>
      <c r="M87" s="601">
        <v>573</v>
      </c>
    </row>
    <row r="88" spans="2:13">
      <c r="B88" s="87" t="s">
        <v>1338</v>
      </c>
      <c r="C88" s="87"/>
      <c r="D88" s="87"/>
      <c r="E88" s="87"/>
      <c r="F88" s="87"/>
      <c r="G88" s="87"/>
      <c r="H88" s="87"/>
      <c r="I88" s="87"/>
    </row>
    <row r="89" spans="2:13">
      <c r="B89" s="87" t="s">
        <v>2426</v>
      </c>
      <c r="C89" s="87"/>
      <c r="D89" s="87"/>
      <c r="E89" s="87"/>
      <c r="F89" s="87"/>
      <c r="G89" s="87"/>
      <c r="H89" s="87"/>
      <c r="I89" s="87"/>
    </row>
    <row r="90" spans="2:13">
      <c r="B90" s="87" t="s">
        <v>1352</v>
      </c>
      <c r="C90" s="87"/>
      <c r="D90" s="87"/>
      <c r="E90" s="87"/>
      <c r="F90" s="87"/>
      <c r="G90" s="87"/>
      <c r="H90" s="87"/>
      <c r="I90" s="87"/>
    </row>
    <row r="91" spans="2:13">
      <c r="B91" s="87" t="s">
        <v>1353</v>
      </c>
      <c r="E91" s="87"/>
      <c r="F91" s="87"/>
      <c r="G91" s="87"/>
      <c r="H91" s="87"/>
      <c r="I91" s="87"/>
    </row>
    <row r="94" spans="2:13" ht="17.399999999999999">
      <c r="B94" s="286" t="s">
        <v>1360</v>
      </c>
      <c r="I94" s="87"/>
    </row>
    <row r="96" spans="2:13">
      <c r="B96" s="413" t="s">
        <v>2269</v>
      </c>
      <c r="C96" s="414"/>
      <c r="D96" s="414"/>
      <c r="E96" s="414"/>
      <c r="F96" s="789"/>
      <c r="G96" s="415"/>
    </row>
    <row r="97" spans="2:7" ht="118.5" customHeight="1">
      <c r="B97" s="416" t="s">
        <v>780</v>
      </c>
      <c r="C97" s="416"/>
      <c r="D97" s="439">
        <v>145027.17475399983</v>
      </c>
      <c r="E97" s="418" t="s">
        <v>781</v>
      </c>
      <c r="F97" s="440">
        <v>126447.3627449999</v>
      </c>
      <c r="G97" s="418" t="s">
        <v>2293</v>
      </c>
    </row>
    <row r="98" spans="2:7" ht="33" customHeight="1">
      <c r="B98" s="419"/>
      <c r="C98" s="419"/>
      <c r="D98" s="438"/>
      <c r="E98" s="418" t="s">
        <v>918</v>
      </c>
      <c r="F98" s="440">
        <v>10179.371858999997</v>
      </c>
      <c r="G98" s="418" t="s">
        <v>2294</v>
      </c>
    </row>
    <row r="99" spans="2:7" ht="67.5" customHeight="1">
      <c r="B99" s="508" t="s">
        <v>786</v>
      </c>
      <c r="C99" s="508"/>
      <c r="D99" s="439">
        <v>39513.264534000009</v>
      </c>
      <c r="E99" s="418" t="s">
        <v>788</v>
      </c>
      <c r="F99" s="440">
        <v>23510.178415999999</v>
      </c>
      <c r="G99" s="418" t="s">
        <v>2295</v>
      </c>
    </row>
    <row r="100" spans="2:7" ht="51.75" customHeight="1">
      <c r="B100" s="422"/>
      <c r="C100" s="422"/>
      <c r="D100" s="440"/>
      <c r="E100" s="418" t="s">
        <v>787</v>
      </c>
      <c r="F100" s="440">
        <v>16003.086118000001</v>
      </c>
      <c r="G100" s="418" t="s">
        <v>2296</v>
      </c>
    </row>
    <row r="101" spans="2:7" ht="68.400000000000006">
      <c r="B101" s="416" t="s">
        <v>1633</v>
      </c>
      <c r="C101" s="416"/>
      <c r="D101" s="439">
        <v>37225.429351999999</v>
      </c>
      <c r="E101" s="418" t="s">
        <v>1634</v>
      </c>
      <c r="F101" s="440">
        <v>32103.495646999989</v>
      </c>
      <c r="G101" s="418" t="s">
        <v>2297</v>
      </c>
    </row>
    <row r="102" spans="2:7" ht="22.8">
      <c r="B102" s="422"/>
      <c r="C102" s="422"/>
      <c r="D102" s="440"/>
      <c r="E102" s="418" t="s">
        <v>1635</v>
      </c>
      <c r="F102" s="440">
        <v>5121.9337050000004</v>
      </c>
      <c r="G102" s="418" t="s">
        <v>2298</v>
      </c>
    </row>
    <row r="103" spans="2:7" ht="63.75" customHeight="1">
      <c r="B103" s="508" t="s">
        <v>783</v>
      </c>
      <c r="C103" s="508"/>
      <c r="D103" s="439">
        <v>35104.281800999983</v>
      </c>
      <c r="E103" s="418" t="s">
        <v>784</v>
      </c>
      <c r="F103" s="440">
        <v>22121.795301999999</v>
      </c>
      <c r="G103" s="418" t="s">
        <v>2299</v>
      </c>
    </row>
    <row r="104" spans="2:7" ht="63.75" customHeight="1">
      <c r="B104" s="416"/>
      <c r="C104" s="416"/>
      <c r="D104" s="439"/>
      <c r="E104" s="423" t="s">
        <v>785</v>
      </c>
      <c r="F104" s="439">
        <v>12982.486499000002</v>
      </c>
      <c r="G104" s="424" t="s">
        <v>2300</v>
      </c>
    </row>
    <row r="105" spans="2:7">
      <c r="B105" s="425" t="s">
        <v>3</v>
      </c>
      <c r="C105" s="790"/>
      <c r="D105" s="509">
        <v>256870.15044099983</v>
      </c>
      <c r="E105" s="791"/>
      <c r="F105" s="792"/>
      <c r="G105" s="793"/>
    </row>
    <row r="106" spans="2:7" ht="15.6">
      <c r="B106" s="429"/>
      <c r="C106" s="429"/>
      <c r="D106" s="430"/>
      <c r="E106" s="431"/>
      <c r="F106" s="432"/>
      <c r="G106" s="433"/>
    </row>
    <row r="107" spans="2:7">
      <c r="B107" s="413" t="s">
        <v>2270</v>
      </c>
      <c r="C107" s="414"/>
      <c r="D107" s="434"/>
      <c r="E107" s="414"/>
      <c r="F107" s="434"/>
      <c r="G107" s="435"/>
    </row>
    <row r="108" spans="2:7" ht="78" customHeight="1">
      <c r="B108" s="416" t="s">
        <v>780</v>
      </c>
      <c r="C108" s="416"/>
      <c r="D108" s="436">
        <v>268714.96710200037</v>
      </c>
      <c r="E108" s="418" t="s">
        <v>781</v>
      </c>
      <c r="F108" s="437">
        <v>255718.88256900007</v>
      </c>
      <c r="G108" s="418" t="s">
        <v>2301</v>
      </c>
    </row>
    <row r="109" spans="2:7" ht="22.8">
      <c r="B109" s="419"/>
      <c r="C109" s="419"/>
      <c r="D109" s="438"/>
      <c r="E109" s="418" t="s">
        <v>782</v>
      </c>
      <c r="F109" s="437">
        <v>11074.988142999999</v>
      </c>
      <c r="G109" s="418" t="s">
        <v>2302</v>
      </c>
    </row>
    <row r="110" spans="2:7" ht="87.75" customHeight="1">
      <c r="B110" s="416" t="s">
        <v>1633</v>
      </c>
      <c r="C110" s="416"/>
      <c r="D110" s="439">
        <v>230584.23976899992</v>
      </c>
      <c r="E110" s="418" t="s">
        <v>1634</v>
      </c>
      <c r="F110" s="440">
        <v>220235.91355199998</v>
      </c>
      <c r="G110" s="418" t="s">
        <v>2303</v>
      </c>
    </row>
    <row r="111" spans="2:7" ht="31.5" customHeight="1">
      <c r="B111" s="422"/>
      <c r="C111" s="422"/>
      <c r="D111" s="440"/>
      <c r="E111" s="418" t="s">
        <v>1635</v>
      </c>
      <c r="F111" s="440">
        <v>10348.326217000003</v>
      </c>
      <c r="G111" s="418" t="s">
        <v>2304</v>
      </c>
    </row>
    <row r="112" spans="2:7" ht="67.5" customHeight="1">
      <c r="B112" s="416" t="s">
        <v>786</v>
      </c>
      <c r="C112" s="416"/>
      <c r="D112" s="439">
        <v>63081.736567999993</v>
      </c>
      <c r="E112" s="418" t="s">
        <v>788</v>
      </c>
      <c r="F112" s="440">
        <v>40542.789644999997</v>
      </c>
      <c r="G112" s="418" t="s">
        <v>2305</v>
      </c>
    </row>
    <row r="113" spans="2:7" ht="64.5" customHeight="1">
      <c r="B113" s="422"/>
      <c r="C113" s="422"/>
      <c r="D113" s="440"/>
      <c r="E113" s="418" t="s">
        <v>787</v>
      </c>
      <c r="F113" s="440">
        <v>22538.946923000003</v>
      </c>
      <c r="G113" s="418" t="s">
        <v>2306</v>
      </c>
    </row>
    <row r="114" spans="2:7" ht="68.25" customHeight="1">
      <c r="B114" s="508" t="s">
        <v>783</v>
      </c>
      <c r="C114" s="508"/>
      <c r="D114" s="439">
        <v>20442.831346999992</v>
      </c>
      <c r="E114" s="418" t="s">
        <v>784</v>
      </c>
      <c r="F114" s="440">
        <v>15630.445528</v>
      </c>
      <c r="G114" s="418" t="s">
        <v>2307</v>
      </c>
    </row>
    <row r="115" spans="2:7" ht="57" customHeight="1">
      <c r="B115" s="416"/>
      <c r="C115" s="416"/>
      <c r="D115" s="439"/>
      <c r="E115" s="423" t="s">
        <v>785</v>
      </c>
      <c r="F115" s="439">
        <v>4812.3858189999992</v>
      </c>
      <c r="G115" s="423" t="s">
        <v>2308</v>
      </c>
    </row>
    <row r="116" spans="2:7">
      <c r="B116" s="425" t="s">
        <v>3</v>
      </c>
      <c r="C116" s="426"/>
      <c r="D116" s="441">
        <v>582823.77478600026</v>
      </c>
      <c r="E116" s="428"/>
      <c r="F116" s="443"/>
      <c r="G116" s="428"/>
    </row>
    <row r="118" spans="2:7">
      <c r="B118" s="442" t="s">
        <v>2271</v>
      </c>
      <c r="C118" s="444"/>
      <c r="D118" s="415"/>
      <c r="E118" s="415"/>
      <c r="F118" s="415"/>
      <c r="G118" s="415"/>
    </row>
    <row r="119" spans="2:7">
      <c r="B119" s="448" t="s">
        <v>13</v>
      </c>
      <c r="C119" s="794">
        <v>479871.73433600005</v>
      </c>
      <c r="D119" s="448" t="s">
        <v>2273</v>
      </c>
      <c r="E119" s="448"/>
      <c r="F119" s="795"/>
      <c r="G119" s="448"/>
    </row>
    <row r="120" spans="2:7">
      <c r="B120" s="448" t="s">
        <v>10</v>
      </c>
      <c r="C120" s="794">
        <v>48032.926755</v>
      </c>
      <c r="D120" s="448" t="s">
        <v>2274</v>
      </c>
      <c r="E120" s="448"/>
      <c r="F120" s="795"/>
      <c r="G120" s="448"/>
    </row>
    <row r="121" spans="2:7">
      <c r="B121" s="448" t="s">
        <v>7</v>
      </c>
      <c r="C121" s="794">
        <v>17860.320750999996</v>
      </c>
      <c r="D121" s="448" t="s">
        <v>2275</v>
      </c>
      <c r="E121" s="448"/>
      <c r="F121" s="795"/>
      <c r="G121" s="448"/>
    </row>
    <row r="122" spans="2:7">
      <c r="B122" s="448" t="s">
        <v>8</v>
      </c>
      <c r="C122" s="794">
        <v>6556.6763370000008</v>
      </c>
      <c r="D122" s="448" t="s">
        <v>2276</v>
      </c>
      <c r="E122" s="448"/>
      <c r="F122" s="795"/>
      <c r="G122" s="448"/>
    </row>
    <row r="123" spans="2:7">
      <c r="B123" s="448" t="s">
        <v>12</v>
      </c>
      <c r="C123" s="794">
        <v>5521.5878590000002</v>
      </c>
      <c r="D123" s="448" t="s">
        <v>2277</v>
      </c>
      <c r="E123" s="448"/>
      <c r="F123" s="795"/>
      <c r="G123" s="448"/>
    </row>
    <row r="124" spans="2:7">
      <c r="B124" s="448" t="s">
        <v>6</v>
      </c>
      <c r="C124" s="794">
        <v>4779.7560349999994</v>
      </c>
      <c r="D124" s="448" t="s">
        <v>2278</v>
      </c>
      <c r="E124" s="448"/>
      <c r="F124" s="795"/>
      <c r="G124" s="448"/>
    </row>
    <row r="125" spans="2:7">
      <c r="B125" s="448" t="s">
        <v>17</v>
      </c>
      <c r="C125" s="794">
        <v>4277.5190360000006</v>
      </c>
      <c r="D125" s="448" t="s">
        <v>2279</v>
      </c>
      <c r="E125" s="448"/>
      <c r="F125" s="795"/>
      <c r="G125" s="448"/>
    </row>
    <row r="126" spans="2:7">
      <c r="B126" s="448" t="s">
        <v>22</v>
      </c>
      <c r="C126" s="794">
        <v>4209.235396</v>
      </c>
      <c r="D126" s="448" t="s">
        <v>2280</v>
      </c>
      <c r="E126" s="448"/>
      <c r="F126" s="795"/>
      <c r="G126" s="448"/>
    </row>
    <row r="127" spans="2:7">
      <c r="B127" s="448" t="s">
        <v>27</v>
      </c>
      <c r="C127" s="794">
        <v>1672.289041</v>
      </c>
      <c r="D127" s="448" t="s">
        <v>2281</v>
      </c>
      <c r="E127" s="448"/>
      <c r="F127" s="795"/>
      <c r="G127" s="448"/>
    </row>
    <row r="128" spans="2:7">
      <c r="B128" s="448" t="s">
        <v>1962</v>
      </c>
      <c r="C128" s="794">
        <v>1432.6370579999998</v>
      </c>
      <c r="D128" s="448" t="s">
        <v>2282</v>
      </c>
      <c r="E128" s="448"/>
      <c r="F128" s="795"/>
      <c r="G128" s="448"/>
    </row>
    <row r="129" spans="2:7">
      <c r="B129" s="454" t="s">
        <v>1623</v>
      </c>
      <c r="C129" s="796">
        <v>8609.0921819998184</v>
      </c>
      <c r="D129" s="454"/>
      <c r="E129" s="797"/>
      <c r="F129" s="797"/>
      <c r="G129" s="797"/>
    </row>
    <row r="130" spans="2:7">
      <c r="B130" s="425" t="s">
        <v>3</v>
      </c>
      <c r="C130" s="441">
        <v>582823.77478599967</v>
      </c>
      <c r="D130" s="442" t="s">
        <v>1361</v>
      </c>
      <c r="E130" s="428"/>
      <c r="F130" s="428"/>
      <c r="G130" s="428"/>
    </row>
    <row r="131" spans="2:7">
      <c r="C131" s="456"/>
    </row>
    <row r="132" spans="2:7">
      <c r="B132" s="442" t="s">
        <v>2272</v>
      </c>
      <c r="C132" s="457"/>
      <c r="D132" s="415"/>
      <c r="E132" s="415"/>
      <c r="F132" s="415"/>
      <c r="G132" s="415"/>
    </row>
    <row r="133" spans="2:7">
      <c r="B133" s="448" t="s">
        <v>834</v>
      </c>
      <c r="C133" s="794">
        <v>51881.595163000013</v>
      </c>
      <c r="D133" s="448" t="s">
        <v>2283</v>
      </c>
      <c r="E133" s="448"/>
      <c r="F133" s="795"/>
      <c r="G133" s="448"/>
    </row>
    <row r="134" spans="2:7">
      <c r="B134" s="448" t="s">
        <v>1958</v>
      </c>
      <c r="C134" s="794">
        <v>35070.581704000004</v>
      </c>
      <c r="D134" s="448" t="s">
        <v>2284</v>
      </c>
      <c r="E134" s="448"/>
      <c r="F134" s="795"/>
      <c r="G134" s="448"/>
    </row>
    <row r="135" spans="2:7">
      <c r="B135" s="448" t="s">
        <v>10</v>
      </c>
      <c r="C135" s="794">
        <v>32914.706726999997</v>
      </c>
      <c r="D135" s="448" t="s">
        <v>2285</v>
      </c>
      <c r="E135" s="448"/>
      <c r="F135" s="795"/>
      <c r="G135" s="448"/>
    </row>
    <row r="136" spans="2:7">
      <c r="B136" s="448" t="s">
        <v>13</v>
      </c>
      <c r="C136" s="794">
        <v>25197.798653999998</v>
      </c>
      <c r="D136" s="448" t="s">
        <v>2286</v>
      </c>
      <c r="E136" s="448"/>
      <c r="F136" s="795"/>
      <c r="G136" s="448"/>
    </row>
    <row r="137" spans="2:7">
      <c r="B137" s="448" t="s">
        <v>1078</v>
      </c>
      <c r="C137" s="794">
        <v>13969.229338000001</v>
      </c>
      <c r="D137" s="448" t="s">
        <v>2287</v>
      </c>
      <c r="E137" s="448"/>
      <c r="F137" s="795"/>
      <c r="G137" s="448"/>
    </row>
    <row r="138" spans="2:7">
      <c r="B138" s="448" t="s">
        <v>1445</v>
      </c>
      <c r="C138" s="794">
        <v>11797.934916</v>
      </c>
      <c r="D138" s="448" t="s">
        <v>2288</v>
      </c>
      <c r="E138" s="448"/>
      <c r="F138" s="795"/>
      <c r="G138" s="448"/>
    </row>
    <row r="139" spans="2:7">
      <c r="B139" s="448" t="s">
        <v>790</v>
      </c>
      <c r="C139" s="794">
        <v>11758.656801000003</v>
      </c>
      <c r="D139" s="448" t="s">
        <v>2289</v>
      </c>
      <c r="E139" s="448"/>
      <c r="F139" s="795"/>
      <c r="G139" s="448"/>
    </row>
    <row r="140" spans="2:7">
      <c r="B140" s="448" t="s">
        <v>739</v>
      </c>
      <c r="C140" s="794">
        <v>10115.088106000001</v>
      </c>
      <c r="D140" s="448" t="s">
        <v>2290</v>
      </c>
      <c r="E140" s="448"/>
      <c r="F140" s="795"/>
      <c r="G140" s="448"/>
    </row>
    <row r="141" spans="2:7">
      <c r="B141" s="448" t="s">
        <v>7</v>
      </c>
      <c r="C141" s="794">
        <v>9807.5561410000009</v>
      </c>
      <c r="D141" s="448" t="s">
        <v>2291</v>
      </c>
      <c r="E141" s="448"/>
      <c r="F141" s="795"/>
      <c r="G141" s="448"/>
    </row>
    <row r="142" spans="2:7">
      <c r="B142" s="448" t="s">
        <v>1962</v>
      </c>
      <c r="C142" s="794">
        <v>6490.4560830000009</v>
      </c>
      <c r="D142" s="448" t="s">
        <v>2292</v>
      </c>
      <c r="E142" s="448"/>
      <c r="F142" s="795"/>
      <c r="G142" s="448"/>
    </row>
    <row r="143" spans="2:7">
      <c r="B143" s="454" t="s">
        <v>1623</v>
      </c>
      <c r="C143" s="796">
        <v>47866.54680800045</v>
      </c>
      <c r="D143" s="454"/>
      <c r="E143" s="454"/>
      <c r="F143" s="454"/>
      <c r="G143" s="797"/>
    </row>
    <row r="144" spans="2:7">
      <c r="B144" s="425" t="s">
        <v>3</v>
      </c>
      <c r="C144" s="441">
        <v>256870.15044100047</v>
      </c>
      <c r="D144" s="442" t="s">
        <v>1362</v>
      </c>
      <c r="E144" s="442"/>
      <c r="F144" s="428"/>
      <c r="G144" s="428"/>
    </row>
    <row r="145" spans="2:2">
      <c r="B145" s="114" t="s">
        <v>2391</v>
      </c>
    </row>
  </sheetData>
  <mergeCells count="3">
    <mergeCell ref="B51:M51"/>
    <mergeCell ref="B52:M52"/>
    <mergeCell ref="B53:M53"/>
  </mergeCells>
  <phoneticPr fontId="138" type="noConversion"/>
  <hyperlinks>
    <hyperlink ref="B23" r:id="rId1" display="Source: Worldbank, 2017. World Development Indicators " xr:uid="{00000000-0004-0000-1F00-000000000000}"/>
  </hyperlinks>
  <pageMargins left="0.7" right="0.7" top="0.78740157499999996" bottom="0.78740157499999996" header="0.3" footer="0.3"/>
  <pageSetup paperSize="9" orientation="portrait"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00B050"/>
  </sheetPr>
  <dimension ref="B2:O184"/>
  <sheetViews>
    <sheetView topLeftCell="A81" zoomScale="90" zoomScaleNormal="90" workbookViewId="0">
      <selection activeCell="F99" sqref="F99"/>
    </sheetView>
  </sheetViews>
  <sheetFormatPr defaultColWidth="11.44140625" defaultRowHeight="14.4"/>
  <cols>
    <col min="2" max="2" width="25.109375" customWidth="1"/>
    <col min="4" max="4" width="22" customWidth="1"/>
    <col min="5" max="6" width="11.33203125" customWidth="1"/>
    <col min="7" max="7" width="16.88671875" customWidth="1"/>
    <col min="8" max="12" width="11.33203125" customWidth="1"/>
  </cols>
  <sheetData>
    <row r="2" spans="2:4" ht="28.2">
      <c r="B2" s="1251" t="s">
        <v>1363</v>
      </c>
    </row>
    <row r="3" spans="2:4" ht="15.6">
      <c r="B3" s="83"/>
    </row>
    <row r="4" spans="2:4" ht="15.6">
      <c r="B4" s="83"/>
    </row>
    <row r="5" spans="2:4" ht="15.6">
      <c r="B5" s="83" t="s">
        <v>2417</v>
      </c>
    </row>
    <row r="6" spans="2:4" ht="15.6">
      <c r="B6" s="83"/>
    </row>
    <row r="7" spans="2:4">
      <c r="B7" s="13" t="s">
        <v>530</v>
      </c>
      <c r="C7" s="239">
        <v>48.8</v>
      </c>
      <c r="D7" s="240" t="s">
        <v>531</v>
      </c>
    </row>
    <row r="8" spans="2:4">
      <c r="B8" s="13" t="s">
        <v>532</v>
      </c>
      <c r="C8" s="645" t="s">
        <v>1678</v>
      </c>
      <c r="D8" s="240" t="s">
        <v>533</v>
      </c>
    </row>
    <row r="9" spans="2:4">
      <c r="B9" s="242" t="s">
        <v>534</v>
      </c>
      <c r="C9" s="243">
        <v>96</v>
      </c>
      <c r="D9" s="244" t="s">
        <v>535</v>
      </c>
    </row>
    <row r="10" spans="2:4" ht="15" customHeight="1">
      <c r="B10" s="245"/>
      <c r="C10" s="246"/>
      <c r="D10" s="240"/>
    </row>
    <row r="11" spans="2:4">
      <c r="B11" s="13" t="s">
        <v>1364</v>
      </c>
      <c r="C11" s="247">
        <v>1630</v>
      </c>
      <c r="D11" s="240" t="s">
        <v>537</v>
      </c>
    </row>
    <row r="12" spans="2:4">
      <c r="B12" s="245" t="s">
        <v>538</v>
      </c>
      <c r="C12" s="246">
        <v>33140</v>
      </c>
      <c r="D12" s="240" t="s">
        <v>539</v>
      </c>
    </row>
    <row r="13" spans="2:4" ht="15" customHeight="1">
      <c r="B13" s="13" t="s">
        <v>540</v>
      </c>
      <c r="C13" s="247">
        <v>2764</v>
      </c>
      <c r="D13" s="240" t="s">
        <v>537</v>
      </c>
    </row>
    <row r="14" spans="2:4">
      <c r="B14" s="245" t="s">
        <v>541</v>
      </c>
      <c r="C14" s="246"/>
      <c r="D14" s="240"/>
    </row>
    <row r="15" spans="2:4" ht="15" customHeight="1">
      <c r="B15" s="245" t="s">
        <v>538</v>
      </c>
      <c r="C15" s="246">
        <v>56630</v>
      </c>
      <c r="D15" s="240" t="s">
        <v>542</v>
      </c>
    </row>
    <row r="16" spans="2:4">
      <c r="B16" s="248"/>
      <c r="C16" s="249"/>
      <c r="D16" s="244"/>
    </row>
    <row r="17" spans="2:5">
      <c r="B17" s="13" t="s">
        <v>543</v>
      </c>
      <c r="C17" s="239">
        <v>3.2</v>
      </c>
      <c r="D17" s="240" t="s">
        <v>544</v>
      </c>
    </row>
    <row r="18" spans="2:5">
      <c r="B18" s="13" t="s">
        <v>545</v>
      </c>
      <c r="C18" s="239">
        <v>2.2000000000000002</v>
      </c>
      <c r="D18" s="240" t="s">
        <v>546</v>
      </c>
    </row>
    <row r="19" spans="2:5" ht="15" customHeight="1">
      <c r="B19" s="245"/>
      <c r="C19" s="246"/>
      <c r="D19" s="246"/>
    </row>
    <row r="20" spans="2:5">
      <c r="B20" s="250" t="s">
        <v>1365</v>
      </c>
      <c r="C20" s="251"/>
      <c r="D20" s="251"/>
    </row>
    <row r="21" spans="2:5">
      <c r="B21" s="252" t="s">
        <v>2415</v>
      </c>
      <c r="C21" s="253"/>
      <c r="D21" s="253"/>
    </row>
    <row r="22" spans="2:5">
      <c r="E22" s="240"/>
    </row>
    <row r="23" spans="2:5">
      <c r="E23" s="251"/>
    </row>
    <row r="24" spans="2:5" ht="15.6">
      <c r="B24" s="86" t="s">
        <v>1677</v>
      </c>
      <c r="C24" s="86"/>
      <c r="D24" s="86"/>
      <c r="E24" s="86"/>
    </row>
    <row r="25" spans="2:5" ht="15.6">
      <c r="B25" s="290" t="s">
        <v>842</v>
      </c>
      <c r="C25" s="78"/>
      <c r="D25" s="78"/>
      <c r="E25" s="78"/>
    </row>
    <row r="27" spans="2:5">
      <c r="B27" s="678"/>
      <c r="C27" s="678"/>
      <c r="D27" s="678"/>
      <c r="E27" s="678"/>
    </row>
    <row r="28" spans="2:5" ht="42.6">
      <c r="B28" s="680" t="s">
        <v>1148</v>
      </c>
      <c r="C28" s="682" t="s">
        <v>56</v>
      </c>
      <c r="D28" s="682" t="s">
        <v>70</v>
      </c>
      <c r="E28" s="682" t="s">
        <v>752</v>
      </c>
    </row>
    <row r="29" spans="2:5">
      <c r="B29" s="670" t="s">
        <v>2410</v>
      </c>
      <c r="C29" s="1318">
        <v>3884</v>
      </c>
    </row>
    <row r="30" spans="2:5">
      <c r="B30" s="704">
        <v>2023</v>
      </c>
      <c r="C30" s="1318">
        <v>3879</v>
      </c>
      <c r="D30" s="1318">
        <v>826</v>
      </c>
      <c r="E30" s="1318">
        <v>1294</v>
      </c>
    </row>
    <row r="31" spans="2:5">
      <c r="B31" s="704">
        <v>2022</v>
      </c>
      <c r="C31" s="1320">
        <v>3603</v>
      </c>
      <c r="D31" s="1318">
        <v>774</v>
      </c>
      <c r="E31" s="1318">
        <v>1021</v>
      </c>
    </row>
    <row r="32" spans="2:5">
      <c r="B32" s="370">
        <v>2021</v>
      </c>
      <c r="C32" s="516">
        <v>3266</v>
      </c>
      <c r="D32" s="371">
        <v>526</v>
      </c>
      <c r="E32" s="371">
        <v>913</v>
      </c>
    </row>
    <row r="33" spans="2:14">
      <c r="B33" s="370">
        <v>2020</v>
      </c>
      <c r="C33" s="516">
        <v>3008</v>
      </c>
      <c r="D33" s="371">
        <v>402</v>
      </c>
      <c r="E33" s="371">
        <v>694</v>
      </c>
    </row>
    <row r="34" spans="2:14">
      <c r="B34" s="370">
        <v>2019</v>
      </c>
      <c r="C34" s="516">
        <v>3120</v>
      </c>
      <c r="D34" s="371">
        <v>342</v>
      </c>
      <c r="E34" s="371">
        <v>857</v>
      </c>
    </row>
    <row r="35" spans="2:14">
      <c r="B35" s="370">
        <v>2018</v>
      </c>
      <c r="C35" s="516">
        <v>2724</v>
      </c>
      <c r="D35" s="371">
        <v>229</v>
      </c>
      <c r="E35" s="371">
        <v>734</v>
      </c>
    </row>
    <row r="36" spans="2:14">
      <c r="B36" s="370">
        <v>2017</v>
      </c>
      <c r="C36" s="516">
        <v>2595</v>
      </c>
      <c r="D36" s="371">
        <v>171</v>
      </c>
      <c r="E36" s="371">
        <v>703</v>
      </c>
    </row>
    <row r="37" spans="2:14">
      <c r="B37" s="370">
        <v>2016</v>
      </c>
      <c r="C37" s="516">
        <v>2360</v>
      </c>
      <c r="D37" s="371">
        <v>179</v>
      </c>
      <c r="E37" s="517">
        <v>720</v>
      </c>
    </row>
    <row r="38" spans="2:14">
      <c r="B38" s="370">
        <v>2015</v>
      </c>
      <c r="C38" s="516">
        <v>2133</v>
      </c>
      <c r="D38" s="516">
        <v>154</v>
      </c>
      <c r="E38" s="517">
        <v>724</v>
      </c>
    </row>
    <row r="39" spans="2:14">
      <c r="B39" s="370">
        <v>2014</v>
      </c>
      <c r="C39" s="516">
        <v>2079</v>
      </c>
      <c r="D39" s="516">
        <v>134</v>
      </c>
      <c r="E39" s="517">
        <v>1037</v>
      </c>
    </row>
    <row r="40" spans="2:14">
      <c r="B40" s="375" t="s">
        <v>928</v>
      </c>
    </row>
    <row r="41" spans="2:14">
      <c r="B41" s="193" t="s">
        <v>754</v>
      </c>
    </row>
    <row r="44" spans="2:14" ht="15.6">
      <c r="B44" s="83" t="s">
        <v>56</v>
      </c>
      <c r="C44" s="93"/>
      <c r="D44" s="93"/>
      <c r="E44" s="93"/>
      <c r="F44" s="93"/>
      <c r="G44" s="93"/>
      <c r="H44" s="93"/>
      <c r="I44" s="93"/>
      <c r="J44" s="93"/>
      <c r="K44" s="93"/>
    </row>
    <row r="45" spans="2:14">
      <c r="B45" s="93" t="s">
        <v>1366</v>
      </c>
      <c r="C45" s="93"/>
      <c r="D45" s="93"/>
      <c r="E45" s="93"/>
      <c r="F45" s="93"/>
      <c r="G45" s="93"/>
      <c r="H45" s="93"/>
      <c r="I45" s="93"/>
      <c r="J45" s="93"/>
      <c r="K45" s="511"/>
    </row>
    <row r="46" spans="2:14">
      <c r="B46" s="85"/>
      <c r="C46" s="85"/>
      <c r="D46" s="85"/>
      <c r="E46" s="85"/>
      <c r="F46" s="85"/>
      <c r="G46" s="85"/>
      <c r="H46" s="153" t="s">
        <v>1367</v>
      </c>
      <c r="I46" s="153"/>
      <c r="J46" s="153"/>
      <c r="K46" s="153"/>
      <c r="L46" s="153"/>
      <c r="M46" s="153"/>
      <c r="N46" s="153"/>
    </row>
    <row r="47" spans="2:14">
      <c r="B47" s="38"/>
      <c r="C47" s="21">
        <v>2022</v>
      </c>
      <c r="D47" s="85">
        <v>2021</v>
      </c>
      <c r="E47" s="115">
        <v>2020</v>
      </c>
      <c r="F47" s="115">
        <v>2019</v>
      </c>
      <c r="G47" s="115">
        <v>2018</v>
      </c>
      <c r="H47" s="115">
        <v>2017</v>
      </c>
      <c r="I47" s="115">
        <v>2016</v>
      </c>
      <c r="J47" s="115">
        <v>2015</v>
      </c>
      <c r="K47" s="115">
        <v>2014</v>
      </c>
      <c r="L47" s="115">
        <v>2013</v>
      </c>
      <c r="M47" s="115">
        <v>2012</v>
      </c>
      <c r="N47" s="38"/>
    </row>
    <row r="48" spans="2:14" ht="15" thickBot="1">
      <c r="B48" s="49" t="s">
        <v>53</v>
      </c>
      <c r="C48" s="1144">
        <v>1210</v>
      </c>
      <c r="D48" s="61">
        <v>1166</v>
      </c>
      <c r="E48" s="43">
        <v>1199.8</v>
      </c>
      <c r="F48" s="733">
        <v>1259</v>
      </c>
      <c r="G48" s="733">
        <v>1303</v>
      </c>
      <c r="H48" s="733">
        <v>1272</v>
      </c>
      <c r="I48" s="733">
        <v>1274</v>
      </c>
      <c r="J48" s="733">
        <v>1356</v>
      </c>
      <c r="K48" s="733">
        <v>1394</v>
      </c>
      <c r="L48" s="733">
        <v>1442</v>
      </c>
      <c r="M48" s="733">
        <v>1383</v>
      </c>
      <c r="N48" s="49" t="s">
        <v>1368</v>
      </c>
    </row>
    <row r="49" spans="2:15" ht="15" thickBot="1">
      <c r="B49" s="84" t="s">
        <v>117</v>
      </c>
      <c r="C49" s="1143">
        <v>354</v>
      </c>
      <c r="D49" s="1140">
        <v>351</v>
      </c>
      <c r="E49" s="44">
        <v>365.54</v>
      </c>
      <c r="F49" s="59">
        <v>377</v>
      </c>
      <c r="G49" s="59">
        <v>374</v>
      </c>
      <c r="H49" s="59">
        <v>373</v>
      </c>
      <c r="I49" s="59">
        <v>338</v>
      </c>
      <c r="J49" s="59">
        <v>397</v>
      </c>
      <c r="K49" s="59">
        <v>415</v>
      </c>
      <c r="L49" s="59">
        <v>426</v>
      </c>
      <c r="M49" s="59">
        <v>429</v>
      </c>
      <c r="N49" s="84" t="s">
        <v>1369</v>
      </c>
    </row>
    <row r="50" spans="2:15" ht="21" thickBot="1">
      <c r="B50" s="36" t="s">
        <v>1370</v>
      </c>
      <c r="C50" s="1143">
        <v>124</v>
      </c>
      <c r="D50" s="1140">
        <v>118</v>
      </c>
      <c r="E50" s="44">
        <v>125.48</v>
      </c>
      <c r="F50" s="59">
        <v>121</v>
      </c>
      <c r="G50" s="59">
        <v>130</v>
      </c>
      <c r="H50" s="59">
        <v>127</v>
      </c>
      <c r="I50" s="59">
        <v>93</v>
      </c>
      <c r="J50" s="59">
        <v>124</v>
      </c>
      <c r="K50" s="59">
        <v>130</v>
      </c>
      <c r="L50" s="59">
        <v>129</v>
      </c>
      <c r="M50" s="59">
        <v>109</v>
      </c>
      <c r="N50" s="36" t="s">
        <v>1371</v>
      </c>
    </row>
    <row r="51" spans="2:15" ht="21" thickBot="1">
      <c r="B51" s="36" t="s">
        <v>1372</v>
      </c>
      <c r="C51" s="1143">
        <v>230</v>
      </c>
      <c r="D51" s="1140">
        <v>232</v>
      </c>
      <c r="E51" s="44">
        <v>240.06</v>
      </c>
      <c r="F51" s="59">
        <v>255</v>
      </c>
      <c r="G51" s="59">
        <v>245</v>
      </c>
      <c r="H51" s="59">
        <v>246</v>
      </c>
      <c r="I51" s="59">
        <v>246</v>
      </c>
      <c r="J51" s="59">
        <v>273</v>
      </c>
      <c r="K51" s="59">
        <v>285</v>
      </c>
      <c r="L51" s="59">
        <v>297</v>
      </c>
      <c r="M51" s="59">
        <v>310</v>
      </c>
      <c r="N51" s="36" t="s">
        <v>1373</v>
      </c>
    </row>
    <row r="52" spans="2:15" ht="15" thickBot="1">
      <c r="B52" s="84" t="s">
        <v>113</v>
      </c>
      <c r="C52" s="1143">
        <v>74</v>
      </c>
      <c r="D52" s="1140">
        <v>74</v>
      </c>
      <c r="E52" s="44">
        <v>94.59</v>
      </c>
      <c r="F52" s="59">
        <v>109</v>
      </c>
      <c r="G52" s="59">
        <v>129</v>
      </c>
      <c r="H52" s="59">
        <v>124</v>
      </c>
      <c r="I52" s="59">
        <v>127</v>
      </c>
      <c r="J52" s="59">
        <v>141</v>
      </c>
      <c r="K52" s="59">
        <v>141</v>
      </c>
      <c r="L52" s="59">
        <v>150</v>
      </c>
      <c r="M52" s="59">
        <v>164</v>
      </c>
      <c r="N52" s="84" t="s">
        <v>1374</v>
      </c>
    </row>
    <row r="53" spans="2:15" ht="21" thickBot="1">
      <c r="B53" s="36" t="s">
        <v>1375</v>
      </c>
      <c r="C53" s="1143">
        <v>1</v>
      </c>
      <c r="D53" s="1140">
        <v>1</v>
      </c>
      <c r="E53" s="44">
        <v>0.74</v>
      </c>
      <c r="F53" s="59">
        <v>1</v>
      </c>
      <c r="G53" s="59">
        <v>1</v>
      </c>
      <c r="H53" s="59">
        <v>1</v>
      </c>
      <c r="I53" s="59">
        <v>1</v>
      </c>
      <c r="J53" s="59">
        <v>11</v>
      </c>
      <c r="K53" s="59">
        <v>11</v>
      </c>
      <c r="L53" s="59">
        <v>10</v>
      </c>
      <c r="M53" s="59">
        <v>11</v>
      </c>
      <c r="N53" s="36" t="s">
        <v>1375</v>
      </c>
    </row>
    <row r="54" spans="2:15" ht="15" thickBot="1">
      <c r="B54" s="36" t="s">
        <v>1376</v>
      </c>
      <c r="C54" s="1143">
        <v>73</v>
      </c>
      <c r="D54" s="1140">
        <v>73</v>
      </c>
      <c r="E54" s="44">
        <v>93.85</v>
      </c>
      <c r="F54" s="59">
        <v>108</v>
      </c>
      <c r="G54" s="59">
        <v>128</v>
      </c>
      <c r="H54" s="59">
        <v>123</v>
      </c>
      <c r="I54" s="59">
        <v>128</v>
      </c>
      <c r="J54" s="59">
        <v>130</v>
      </c>
      <c r="K54" s="59">
        <v>130</v>
      </c>
      <c r="L54" s="59">
        <v>140</v>
      </c>
      <c r="M54" s="59">
        <v>121</v>
      </c>
      <c r="N54" s="36" t="s">
        <v>1377</v>
      </c>
    </row>
    <row r="55" spans="2:15" ht="15" thickBot="1">
      <c r="B55" s="658" t="s">
        <v>978</v>
      </c>
      <c r="C55" s="1246">
        <v>779</v>
      </c>
      <c r="D55" s="1252">
        <v>740</v>
      </c>
      <c r="E55" s="75">
        <v>739.68</v>
      </c>
      <c r="F55" s="104">
        <v>773</v>
      </c>
      <c r="G55" s="104">
        <v>800</v>
      </c>
      <c r="H55" s="104">
        <v>776</v>
      </c>
      <c r="I55" s="104">
        <v>809</v>
      </c>
      <c r="J55" s="104">
        <v>818</v>
      </c>
      <c r="K55" s="104">
        <v>838</v>
      </c>
      <c r="L55" s="104">
        <v>866</v>
      </c>
      <c r="M55" s="104">
        <v>790</v>
      </c>
      <c r="N55" s="658" t="s">
        <v>1378</v>
      </c>
    </row>
    <row r="56" spans="2:15" ht="31.2" thickBot="1">
      <c r="B56" s="49" t="s">
        <v>1379</v>
      </c>
      <c r="C56" s="1144">
        <v>4894</v>
      </c>
      <c r="D56" s="1207">
        <v>4779</v>
      </c>
      <c r="E56" s="43">
        <v>4886.51</v>
      </c>
      <c r="F56" s="733">
        <v>4935</v>
      </c>
      <c r="G56" s="733">
        <v>4921</v>
      </c>
      <c r="H56" s="733">
        <v>4954</v>
      </c>
      <c r="I56" s="733">
        <v>5164</v>
      </c>
      <c r="J56" s="733">
        <v>4946</v>
      </c>
      <c r="K56" s="733">
        <v>5656</v>
      </c>
      <c r="L56" s="733">
        <v>5641</v>
      </c>
      <c r="M56" s="733">
        <v>5636</v>
      </c>
      <c r="N56" s="49" t="s">
        <v>1380</v>
      </c>
    </row>
    <row r="57" spans="2:15" ht="15" thickBot="1">
      <c r="B57" s="49" t="s">
        <v>988</v>
      </c>
      <c r="C57" s="1144">
        <v>21</v>
      </c>
      <c r="D57" s="1207">
        <v>21</v>
      </c>
      <c r="E57" s="43">
        <v>24.2</v>
      </c>
      <c r="F57" s="60">
        <v>41</v>
      </c>
      <c r="G57" s="60">
        <v>98</v>
      </c>
      <c r="H57" s="60">
        <v>95</v>
      </c>
      <c r="I57" s="60">
        <v>89</v>
      </c>
      <c r="J57" s="60">
        <v>27</v>
      </c>
      <c r="K57" s="60">
        <v>31</v>
      </c>
      <c r="L57" s="60">
        <v>34</v>
      </c>
      <c r="M57" s="60">
        <v>28</v>
      </c>
      <c r="N57" s="49" t="s">
        <v>1381</v>
      </c>
    </row>
    <row r="58" spans="2:15">
      <c r="B58" s="41" t="s">
        <v>1921</v>
      </c>
      <c r="C58" s="152"/>
      <c r="D58" s="152"/>
      <c r="E58" s="152"/>
      <c r="F58" s="152"/>
      <c r="G58" s="152"/>
      <c r="H58" s="152"/>
      <c r="I58" s="152"/>
      <c r="J58" s="152"/>
      <c r="K58" s="152"/>
      <c r="L58" s="102"/>
      <c r="M58" s="102"/>
      <c r="N58" s="103"/>
      <c r="O58" s="103"/>
    </row>
    <row r="59" spans="2:15"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03"/>
      <c r="O59" s="103"/>
    </row>
    <row r="60" spans="2:15">
      <c r="C60" s="16"/>
      <c r="D60" s="16"/>
      <c r="E60" s="16"/>
      <c r="F60" s="16"/>
      <c r="G60" s="16"/>
      <c r="H60" s="16"/>
      <c r="I60" s="16"/>
      <c r="N60" s="103"/>
      <c r="O60" s="103"/>
    </row>
    <row r="61" spans="2:15">
      <c r="C61" s="267"/>
      <c r="D61" s="267"/>
      <c r="E61" s="267"/>
      <c r="F61" s="267"/>
      <c r="G61" s="267"/>
      <c r="N61" s="103"/>
      <c r="O61" s="103"/>
    </row>
    <row r="62" spans="2:15">
      <c r="B62" s="93" t="s">
        <v>1382</v>
      </c>
      <c r="N62" s="103"/>
      <c r="O62" s="103"/>
    </row>
    <row r="63" spans="2:15">
      <c r="B63" s="85"/>
      <c r="C63" s="229"/>
      <c r="D63" s="229"/>
      <c r="E63" s="229"/>
      <c r="F63" s="229"/>
      <c r="G63" s="229"/>
      <c r="H63" s="153" t="s">
        <v>1383</v>
      </c>
      <c r="I63" s="153"/>
      <c r="J63" s="153"/>
      <c r="K63" s="153"/>
      <c r="L63" s="153"/>
      <c r="M63" s="153"/>
      <c r="N63" s="153"/>
    </row>
    <row r="64" spans="2:15">
      <c r="B64" s="38"/>
      <c r="C64" s="115">
        <v>2022</v>
      </c>
      <c r="D64" s="115">
        <v>2021</v>
      </c>
      <c r="E64" s="115">
        <v>2020</v>
      </c>
      <c r="F64" s="115">
        <v>2019</v>
      </c>
      <c r="G64" s="115">
        <v>2018</v>
      </c>
      <c r="H64" s="115">
        <v>2017</v>
      </c>
      <c r="I64" s="115">
        <v>2016</v>
      </c>
      <c r="J64" s="115">
        <v>2015</v>
      </c>
      <c r="K64" s="115">
        <v>2014</v>
      </c>
      <c r="L64" s="115">
        <v>2013</v>
      </c>
      <c r="M64" s="115">
        <v>2012</v>
      </c>
      <c r="N64" s="115"/>
      <c r="O64" s="103"/>
    </row>
    <row r="65" spans="2:14" ht="15" thickBot="1">
      <c r="B65" s="49" t="s">
        <v>53</v>
      </c>
      <c r="C65" s="1144">
        <v>1177</v>
      </c>
      <c r="D65" s="1207">
        <v>1076</v>
      </c>
      <c r="E65" s="733">
        <v>753.78</v>
      </c>
      <c r="F65" s="733">
        <v>1330</v>
      </c>
      <c r="G65" s="733">
        <v>1308</v>
      </c>
      <c r="H65" s="733">
        <v>1284.3599999999999</v>
      </c>
      <c r="I65" s="733">
        <v>1254.42</v>
      </c>
      <c r="J65" s="733">
        <v>1296</v>
      </c>
      <c r="K65" s="733">
        <v>1694</v>
      </c>
      <c r="L65" s="733">
        <v>1393</v>
      </c>
      <c r="M65" s="733">
        <v>1778</v>
      </c>
      <c r="N65" s="49" t="s">
        <v>1368</v>
      </c>
    </row>
    <row r="66" spans="2:14" ht="15" thickBot="1">
      <c r="B66" s="84" t="s">
        <v>117</v>
      </c>
      <c r="C66" s="1143">
        <v>549</v>
      </c>
      <c r="D66" s="1140">
        <v>489</v>
      </c>
      <c r="E66" s="273">
        <v>292.35599999999999</v>
      </c>
      <c r="F66" s="273">
        <v>626</v>
      </c>
      <c r="G66" s="273">
        <v>576.51599999999996</v>
      </c>
      <c r="H66" s="273">
        <v>575.88</v>
      </c>
      <c r="I66" s="273">
        <v>562.27200000000005</v>
      </c>
      <c r="J66" s="273">
        <v>589</v>
      </c>
      <c r="K66" s="273">
        <v>723</v>
      </c>
      <c r="L66" s="273">
        <v>658</v>
      </c>
      <c r="M66" s="273">
        <v>788</v>
      </c>
      <c r="N66" s="84" t="s">
        <v>1369</v>
      </c>
    </row>
    <row r="67" spans="2:14" ht="21" thickBot="1">
      <c r="B67" s="36" t="s">
        <v>1370</v>
      </c>
      <c r="C67" s="1143">
        <v>202</v>
      </c>
      <c r="D67" s="1140">
        <v>144</v>
      </c>
      <c r="E67" s="273">
        <v>71.507999999999996</v>
      </c>
      <c r="F67" s="273">
        <v>207</v>
      </c>
      <c r="G67" s="273">
        <v>220.95599999999999</v>
      </c>
      <c r="H67" s="273">
        <v>214.392</v>
      </c>
      <c r="I67" s="273">
        <v>175.84800000000001</v>
      </c>
      <c r="J67" s="273">
        <v>163</v>
      </c>
      <c r="K67" s="273">
        <v>174</v>
      </c>
      <c r="L67" s="273">
        <v>179</v>
      </c>
      <c r="M67" s="273">
        <v>164</v>
      </c>
      <c r="N67" s="36" t="s">
        <v>1371</v>
      </c>
    </row>
    <row r="68" spans="2:14" ht="21" thickBot="1">
      <c r="B68" s="36" t="s">
        <v>1372</v>
      </c>
      <c r="C68" s="1143">
        <v>347</v>
      </c>
      <c r="D68" s="1140">
        <v>345</v>
      </c>
      <c r="E68" s="273">
        <v>220.96799999999999</v>
      </c>
      <c r="F68" s="273">
        <v>419</v>
      </c>
      <c r="G68" s="273">
        <v>355.56</v>
      </c>
      <c r="H68" s="273">
        <v>361.488</v>
      </c>
      <c r="I68" s="273">
        <v>386.42399999999998</v>
      </c>
      <c r="J68" s="273">
        <v>426</v>
      </c>
      <c r="K68" s="273">
        <v>549</v>
      </c>
      <c r="L68" s="273">
        <v>479</v>
      </c>
      <c r="M68" s="273">
        <v>612</v>
      </c>
      <c r="N68" s="36" t="s">
        <v>1373</v>
      </c>
    </row>
    <row r="69" spans="2:14" ht="15" thickBot="1">
      <c r="B69" s="84" t="s">
        <v>113</v>
      </c>
      <c r="C69" s="1143">
        <v>56</v>
      </c>
      <c r="D69" s="1140">
        <v>56</v>
      </c>
      <c r="E69" s="273">
        <v>85.62</v>
      </c>
      <c r="F69" s="273">
        <v>115</v>
      </c>
      <c r="G69" s="273">
        <v>136.08000000000001</v>
      </c>
      <c r="H69" s="273">
        <v>125.76</v>
      </c>
      <c r="I69" s="273">
        <v>104.184</v>
      </c>
      <c r="J69" s="273">
        <v>129</v>
      </c>
      <c r="K69" s="273">
        <v>131</v>
      </c>
      <c r="L69" s="273">
        <v>144</v>
      </c>
      <c r="M69" s="273">
        <v>156</v>
      </c>
      <c r="N69" s="84" t="s">
        <v>1374</v>
      </c>
    </row>
    <row r="70" spans="2:14" ht="21" thickBot="1">
      <c r="B70" s="36" t="s">
        <v>1375</v>
      </c>
      <c r="C70" s="1143">
        <v>0</v>
      </c>
      <c r="D70" s="1140">
        <v>0</v>
      </c>
      <c r="E70" s="273">
        <v>0.372</v>
      </c>
      <c r="F70" s="273">
        <v>1</v>
      </c>
      <c r="G70" s="273">
        <v>0.51600000000000001</v>
      </c>
      <c r="H70" s="273">
        <v>0</v>
      </c>
      <c r="I70" s="273">
        <v>0.45600000000000002</v>
      </c>
      <c r="J70" s="273">
        <v>9</v>
      </c>
      <c r="K70" s="273">
        <v>9</v>
      </c>
      <c r="L70" s="273">
        <v>8</v>
      </c>
      <c r="M70" s="273">
        <v>9</v>
      </c>
      <c r="N70" s="36" t="s">
        <v>1375</v>
      </c>
    </row>
    <row r="71" spans="2:14" ht="15" thickBot="1">
      <c r="B71" s="36" t="s">
        <v>1376</v>
      </c>
      <c r="C71" s="1143">
        <v>56</v>
      </c>
      <c r="D71" s="1140">
        <v>56</v>
      </c>
      <c r="E71" s="273">
        <v>85.248000000000005</v>
      </c>
      <c r="F71" s="273">
        <v>114</v>
      </c>
      <c r="G71" s="273">
        <v>135.56399999999999</v>
      </c>
      <c r="H71" s="273">
        <v>125.304</v>
      </c>
      <c r="I71" s="273">
        <v>103.72799999999999</v>
      </c>
      <c r="J71" s="273">
        <v>120</v>
      </c>
      <c r="K71" s="273">
        <v>122</v>
      </c>
      <c r="L71" s="273">
        <v>136</v>
      </c>
      <c r="M71" s="273">
        <v>115</v>
      </c>
      <c r="N71" s="36" t="s">
        <v>1377</v>
      </c>
    </row>
    <row r="72" spans="2:14" ht="15" thickBot="1">
      <c r="B72" s="658" t="s">
        <v>978</v>
      </c>
      <c r="C72" s="1246">
        <v>572</v>
      </c>
      <c r="D72" s="1252">
        <v>531</v>
      </c>
      <c r="E72" s="798">
        <v>375.80399999999997</v>
      </c>
      <c r="F72" s="798">
        <v>590</v>
      </c>
      <c r="G72" s="798">
        <v>595.76400000000001</v>
      </c>
      <c r="H72" s="798">
        <v>582.82799999999997</v>
      </c>
      <c r="I72" s="798">
        <v>587.96400000000006</v>
      </c>
      <c r="J72" s="798">
        <v>578</v>
      </c>
      <c r="K72" s="798">
        <v>840</v>
      </c>
      <c r="L72" s="798">
        <v>592</v>
      </c>
      <c r="M72" s="798">
        <v>834</v>
      </c>
      <c r="N72" s="658" t="s">
        <v>1378</v>
      </c>
    </row>
    <row r="73" spans="2:14" ht="31.2" thickBot="1">
      <c r="B73" s="49" t="s">
        <v>1379</v>
      </c>
      <c r="C73" s="1144">
        <v>3643</v>
      </c>
      <c r="D73" s="1207">
        <v>3624</v>
      </c>
      <c r="E73" s="733">
        <v>3546.4920000000002</v>
      </c>
      <c r="F73" s="733">
        <v>3903</v>
      </c>
      <c r="G73" s="733">
        <v>3181</v>
      </c>
      <c r="H73" s="733">
        <v>3974.364</v>
      </c>
      <c r="I73" s="733">
        <v>3093.0120000000002</v>
      </c>
      <c r="J73" s="733">
        <v>3212</v>
      </c>
      <c r="K73" s="733">
        <v>3572</v>
      </c>
      <c r="L73" s="733">
        <v>3488</v>
      </c>
      <c r="M73" s="733">
        <v>3477</v>
      </c>
      <c r="N73" s="49" t="s">
        <v>1380</v>
      </c>
    </row>
    <row r="74" spans="2:14" ht="15" thickBot="1">
      <c r="B74" s="49" t="s">
        <v>988</v>
      </c>
      <c r="C74" s="1144">
        <v>1829</v>
      </c>
      <c r="D74" s="1207">
        <v>1818</v>
      </c>
      <c r="E74" s="43">
        <v>1308.5999999999999</v>
      </c>
      <c r="F74" s="43">
        <v>2507</v>
      </c>
      <c r="G74" s="43">
        <v>1396</v>
      </c>
      <c r="H74" s="43">
        <v>1562.376</v>
      </c>
      <c r="I74" s="799">
        <v>314.01600000000002</v>
      </c>
      <c r="J74" s="799">
        <v>4</v>
      </c>
      <c r="K74" s="799">
        <v>19</v>
      </c>
      <c r="L74" s="799">
        <v>7</v>
      </c>
      <c r="M74" s="799">
        <v>4</v>
      </c>
      <c r="N74" s="49" t="s">
        <v>1381</v>
      </c>
    </row>
    <row r="75" spans="2:14">
      <c r="B75" s="41" t="s">
        <v>1936</v>
      </c>
      <c r="F75" s="800"/>
      <c r="G75" s="800"/>
    </row>
    <row r="76" spans="2:14">
      <c r="G76" s="134"/>
    </row>
    <row r="78" spans="2:14" ht="15.6">
      <c r="B78" s="83" t="s">
        <v>56</v>
      </c>
    </row>
    <row r="79" spans="2:14">
      <c r="B79" s="81" t="s">
        <v>46</v>
      </c>
    </row>
    <row r="80" spans="2:14">
      <c r="B80" s="21"/>
      <c r="C80" s="21">
        <v>2022</v>
      </c>
      <c r="D80" s="21">
        <v>2021</v>
      </c>
      <c r="E80" s="21">
        <v>2020</v>
      </c>
      <c r="F80" s="21">
        <v>2019</v>
      </c>
      <c r="G80" s="21">
        <v>2018</v>
      </c>
      <c r="H80" s="21">
        <v>2017</v>
      </c>
      <c r="I80" s="21">
        <v>2016</v>
      </c>
      <c r="J80" s="21">
        <v>2015</v>
      </c>
      <c r="K80" s="21">
        <v>2014</v>
      </c>
      <c r="L80" s="21">
        <v>2013</v>
      </c>
      <c r="M80" s="21">
        <v>2012</v>
      </c>
      <c r="N80" s="85"/>
    </row>
    <row r="81" spans="2:14">
      <c r="B81" s="38" t="s">
        <v>66</v>
      </c>
      <c r="C81" s="38"/>
      <c r="D81" s="38"/>
      <c r="E81" s="21"/>
      <c r="F81" s="21"/>
      <c r="G81" s="21"/>
      <c r="H81" s="21"/>
      <c r="I81" s="21"/>
      <c r="J81" s="21"/>
      <c r="K81" s="21"/>
      <c r="L81" s="21"/>
      <c r="M81" s="21"/>
      <c r="N81" s="38" t="s">
        <v>1384</v>
      </c>
    </row>
    <row r="82" spans="2:14" ht="15" thickBot="1">
      <c r="B82" s="49" t="s">
        <v>53</v>
      </c>
      <c r="C82" s="1144">
        <v>422</v>
      </c>
      <c r="D82" s="61">
        <v>383</v>
      </c>
      <c r="E82" s="43">
        <f>(38023/100)</f>
        <v>380.23</v>
      </c>
      <c r="F82" s="60">
        <v>363</v>
      </c>
      <c r="G82" s="60">
        <v>385</v>
      </c>
      <c r="H82" s="60">
        <v>370</v>
      </c>
      <c r="I82" s="60">
        <v>408</v>
      </c>
      <c r="J82" s="60">
        <v>433</v>
      </c>
      <c r="K82" s="60">
        <v>456</v>
      </c>
      <c r="L82" s="60">
        <v>505</v>
      </c>
      <c r="M82" s="60">
        <v>417</v>
      </c>
      <c r="N82" s="49" t="s">
        <v>1385</v>
      </c>
    </row>
    <row r="83" spans="2:14" ht="15" thickBot="1">
      <c r="B83" s="84" t="s">
        <v>117</v>
      </c>
      <c r="C83" s="1143">
        <v>56</v>
      </c>
      <c r="D83" s="95">
        <v>57</v>
      </c>
      <c r="E83" s="44">
        <f>(6085/100)</f>
        <v>60.85</v>
      </c>
      <c r="F83" s="59">
        <v>50</v>
      </c>
      <c r="G83" s="59">
        <v>56</v>
      </c>
      <c r="H83" s="59">
        <v>52</v>
      </c>
      <c r="I83" s="59">
        <v>52</v>
      </c>
      <c r="J83" s="59">
        <v>59</v>
      </c>
      <c r="K83" s="59">
        <v>59</v>
      </c>
      <c r="L83" s="59">
        <v>69</v>
      </c>
      <c r="M83" s="59">
        <v>68</v>
      </c>
      <c r="N83" s="305" t="s">
        <v>1369</v>
      </c>
    </row>
    <row r="84" spans="2:14" ht="15" thickBot="1">
      <c r="B84" s="84" t="s">
        <v>113</v>
      </c>
      <c r="C84" s="1143">
        <v>13</v>
      </c>
      <c r="D84" s="95">
        <v>13</v>
      </c>
      <c r="E84" s="44">
        <f>(1045/100)</f>
        <v>10.45</v>
      </c>
      <c r="F84" s="59">
        <v>12</v>
      </c>
      <c r="G84" s="59">
        <v>15</v>
      </c>
      <c r="H84" s="59">
        <v>12</v>
      </c>
      <c r="I84" s="59">
        <v>12</v>
      </c>
      <c r="J84" s="59">
        <v>15</v>
      </c>
      <c r="K84" s="59">
        <v>15</v>
      </c>
      <c r="L84" s="59">
        <v>18</v>
      </c>
      <c r="M84" s="59">
        <v>18</v>
      </c>
      <c r="N84" s="305" t="s">
        <v>1374</v>
      </c>
    </row>
    <row r="85" spans="2:14" ht="15" thickBot="1">
      <c r="B85" s="84" t="s">
        <v>1386</v>
      </c>
      <c r="C85" s="1143">
        <v>352</v>
      </c>
      <c r="D85" s="95">
        <v>313</v>
      </c>
      <c r="E85" s="44">
        <f>(30893/100)</f>
        <v>308.93</v>
      </c>
      <c r="F85" s="59">
        <v>301</v>
      </c>
      <c r="G85" s="59">
        <v>314</v>
      </c>
      <c r="H85" s="59">
        <v>306</v>
      </c>
      <c r="I85" s="59">
        <v>344</v>
      </c>
      <c r="J85" s="59">
        <v>359</v>
      </c>
      <c r="K85" s="59">
        <v>382</v>
      </c>
      <c r="L85" s="59">
        <v>417</v>
      </c>
      <c r="M85" s="59">
        <v>330</v>
      </c>
      <c r="N85" s="305" t="s">
        <v>1378</v>
      </c>
    </row>
    <row r="86" spans="2:14" ht="30.6">
      <c r="B86" s="40" t="s">
        <v>1379</v>
      </c>
      <c r="C86" s="1244">
        <v>3278</v>
      </c>
      <c r="D86" s="20">
        <v>3336</v>
      </c>
      <c r="E86" s="126">
        <f>(262478/100)</f>
        <v>2624.78</v>
      </c>
      <c r="F86" s="801">
        <v>3194</v>
      </c>
      <c r="G86" s="801">
        <v>3511</v>
      </c>
      <c r="H86" s="801">
        <v>3331</v>
      </c>
      <c r="I86" s="801">
        <v>3533</v>
      </c>
      <c r="J86" s="801">
        <v>3192</v>
      </c>
      <c r="K86" s="801">
        <v>3916</v>
      </c>
      <c r="L86" s="801">
        <v>4028</v>
      </c>
      <c r="M86" s="801">
        <v>3994</v>
      </c>
      <c r="N86" s="217" t="s">
        <v>1380</v>
      </c>
    </row>
    <row r="87" spans="2:14">
      <c r="B87" s="38" t="s">
        <v>75</v>
      </c>
      <c r="C87" s="1244"/>
      <c r="D87" s="85"/>
      <c r="E87" s="163"/>
      <c r="F87" s="6"/>
      <c r="G87" s="6"/>
      <c r="H87" s="6"/>
      <c r="I87" s="6"/>
      <c r="J87" s="6"/>
      <c r="K87" s="6"/>
      <c r="L87" s="6"/>
      <c r="M87" s="6"/>
      <c r="N87" s="38" t="s">
        <v>1387</v>
      </c>
    </row>
    <row r="88" spans="2:14" ht="15" thickBot="1">
      <c r="B88" s="49" t="s">
        <v>53</v>
      </c>
      <c r="C88" s="1144">
        <v>784</v>
      </c>
      <c r="D88" s="61">
        <v>780</v>
      </c>
      <c r="E88" s="43">
        <f>(81958/100)</f>
        <v>819.58</v>
      </c>
      <c r="F88" s="799">
        <v>896</v>
      </c>
      <c r="G88" s="799">
        <v>917</v>
      </c>
      <c r="H88" s="799">
        <v>899</v>
      </c>
      <c r="I88" s="799">
        <v>865</v>
      </c>
      <c r="J88" s="799">
        <v>917</v>
      </c>
      <c r="K88" s="799">
        <v>932</v>
      </c>
      <c r="L88" s="799">
        <v>931</v>
      </c>
      <c r="M88" s="799">
        <v>953</v>
      </c>
      <c r="N88" s="49" t="s">
        <v>1385</v>
      </c>
    </row>
    <row r="89" spans="2:14" ht="15" thickBot="1">
      <c r="B89" s="84" t="s">
        <v>117</v>
      </c>
      <c r="C89" s="1143">
        <v>298</v>
      </c>
      <c r="D89" s="95">
        <v>293</v>
      </c>
      <c r="E89" s="44">
        <f>(30469/100)</f>
        <v>304.69</v>
      </c>
      <c r="F89" s="59">
        <v>326</v>
      </c>
      <c r="G89" s="59">
        <v>319</v>
      </c>
      <c r="H89" s="59">
        <v>320</v>
      </c>
      <c r="I89" s="59">
        <v>285</v>
      </c>
      <c r="J89" s="59">
        <v>336</v>
      </c>
      <c r="K89" s="59">
        <v>355</v>
      </c>
      <c r="L89" s="59">
        <v>355</v>
      </c>
      <c r="M89" s="59">
        <v>359</v>
      </c>
      <c r="N89" s="305" t="s">
        <v>1369</v>
      </c>
    </row>
    <row r="90" spans="2:14" ht="15" thickBot="1">
      <c r="B90" s="84" t="s">
        <v>113</v>
      </c>
      <c r="C90" s="1143">
        <v>61</v>
      </c>
      <c r="D90" s="95">
        <v>61</v>
      </c>
      <c r="E90" s="44">
        <f>(8414/100)</f>
        <v>84.14</v>
      </c>
      <c r="F90" s="59">
        <v>97</v>
      </c>
      <c r="G90" s="59">
        <v>114</v>
      </c>
      <c r="H90" s="59">
        <v>112</v>
      </c>
      <c r="I90" s="59">
        <v>115</v>
      </c>
      <c r="J90" s="59">
        <v>125</v>
      </c>
      <c r="K90" s="59">
        <v>124</v>
      </c>
      <c r="L90" s="59">
        <v>131</v>
      </c>
      <c r="M90" s="59">
        <v>144</v>
      </c>
      <c r="N90" s="305" t="s">
        <v>1374</v>
      </c>
    </row>
    <row r="91" spans="2:14" ht="15" thickBot="1">
      <c r="B91" s="84" t="s">
        <v>1386</v>
      </c>
      <c r="C91" s="1143">
        <v>425</v>
      </c>
      <c r="D91" s="95">
        <v>426</v>
      </c>
      <c r="E91" s="44">
        <f>(43075/100)</f>
        <v>430.75</v>
      </c>
      <c r="F91" s="59">
        <v>472</v>
      </c>
      <c r="G91" s="59">
        <v>484</v>
      </c>
      <c r="H91" s="59">
        <v>467</v>
      </c>
      <c r="I91" s="59">
        <v>465</v>
      </c>
      <c r="J91" s="59">
        <v>456</v>
      </c>
      <c r="K91" s="59">
        <v>453</v>
      </c>
      <c r="L91" s="59">
        <v>445</v>
      </c>
      <c r="M91" s="59">
        <v>455</v>
      </c>
      <c r="N91" s="305" t="s">
        <v>1378</v>
      </c>
    </row>
    <row r="92" spans="2:14" ht="30.6">
      <c r="B92" s="217" t="s">
        <v>1379</v>
      </c>
      <c r="C92" s="1250">
        <v>1613</v>
      </c>
      <c r="D92" s="1253">
        <v>1442</v>
      </c>
      <c r="E92" s="304">
        <f>(225973/100)</f>
        <v>2259.73</v>
      </c>
      <c r="F92" s="802">
        <v>1494</v>
      </c>
      <c r="G92" s="802">
        <v>1408</v>
      </c>
      <c r="H92" s="802">
        <v>1301</v>
      </c>
      <c r="I92" s="802">
        <v>1302</v>
      </c>
      <c r="J92" s="802">
        <v>1419</v>
      </c>
      <c r="K92" s="802">
        <v>1510</v>
      </c>
      <c r="L92" s="802">
        <v>1405</v>
      </c>
      <c r="M92" s="802">
        <v>958</v>
      </c>
      <c r="N92" s="217" t="s">
        <v>1380</v>
      </c>
    </row>
    <row r="93" spans="2:14">
      <c r="B93" s="38" t="s">
        <v>1388</v>
      </c>
      <c r="C93" s="1244"/>
      <c r="D93" s="85"/>
      <c r="E93" s="163"/>
      <c r="F93" s="6"/>
      <c r="G93" s="6"/>
      <c r="H93" s="6"/>
      <c r="I93" s="6"/>
      <c r="J93" s="6"/>
      <c r="K93" s="6"/>
      <c r="L93" s="6"/>
      <c r="M93" s="6"/>
      <c r="N93" s="38" t="s">
        <v>1389</v>
      </c>
    </row>
    <row r="94" spans="2:14" ht="15" thickBot="1">
      <c r="B94" s="49" t="s">
        <v>134</v>
      </c>
      <c r="C94" s="1254" t="s">
        <v>59</v>
      </c>
      <c r="D94" s="60" t="s">
        <v>59</v>
      </c>
      <c r="E94" s="43" t="s">
        <v>59</v>
      </c>
      <c r="F94" s="799" t="s">
        <v>59</v>
      </c>
      <c r="G94" s="799">
        <v>1</v>
      </c>
      <c r="H94" s="799">
        <v>4</v>
      </c>
      <c r="I94" s="799">
        <v>2</v>
      </c>
      <c r="J94" s="799">
        <v>1</v>
      </c>
      <c r="K94" s="799">
        <v>1</v>
      </c>
      <c r="L94" s="799">
        <v>1</v>
      </c>
      <c r="M94" s="799">
        <v>1</v>
      </c>
      <c r="N94" s="49" t="s">
        <v>1385</v>
      </c>
    </row>
    <row r="95" spans="2:14" ht="31.2" thickBot="1">
      <c r="B95" s="49" t="s">
        <v>1379</v>
      </c>
      <c r="C95" s="1144">
        <v>3</v>
      </c>
      <c r="D95" s="61">
        <v>1</v>
      </c>
      <c r="E95" s="43">
        <f>(200/100)</f>
        <v>2</v>
      </c>
      <c r="F95" s="799">
        <v>247</v>
      </c>
      <c r="G95" s="799">
        <v>2</v>
      </c>
      <c r="H95" s="799">
        <v>322</v>
      </c>
      <c r="I95" s="799">
        <v>334</v>
      </c>
      <c r="J95" s="799">
        <v>335</v>
      </c>
      <c r="K95" s="799">
        <v>230</v>
      </c>
      <c r="L95" s="799">
        <v>208</v>
      </c>
      <c r="M95" s="799">
        <v>200</v>
      </c>
      <c r="N95" s="212" t="s">
        <v>1380</v>
      </c>
    </row>
    <row r="96" spans="2:14">
      <c r="B96" s="41" t="s">
        <v>1921</v>
      </c>
      <c r="C96" s="1255"/>
      <c r="D96" s="223"/>
      <c r="E96" s="223"/>
      <c r="F96" s="223"/>
      <c r="G96" s="223"/>
      <c r="H96" s="223"/>
      <c r="I96" s="223"/>
      <c r="J96" s="223"/>
      <c r="K96" s="223"/>
    </row>
    <row r="97" spans="2:5">
      <c r="C97" s="23"/>
    </row>
    <row r="99" spans="2:5" ht="15.6">
      <c r="B99" s="86" t="s">
        <v>1832</v>
      </c>
      <c r="C99" s="7"/>
      <c r="D99" s="7"/>
    </row>
    <row r="100" spans="2:5" ht="15.6">
      <c r="B100" s="86"/>
      <c r="C100" s="7"/>
      <c r="D100" s="7"/>
    </row>
    <row r="101" spans="2:5">
      <c r="B101" s="290" t="s">
        <v>596</v>
      </c>
      <c r="C101" s="7"/>
      <c r="D101" s="7"/>
    </row>
    <row r="102" spans="2:5">
      <c r="B102" s="290" t="s">
        <v>814</v>
      </c>
      <c r="C102" s="7"/>
      <c r="D102" s="7"/>
    </row>
    <row r="103" spans="2:5">
      <c r="B103" s="290" t="s">
        <v>1942</v>
      </c>
      <c r="C103" s="7"/>
      <c r="D103" s="7"/>
    </row>
    <row r="104" spans="2:5">
      <c r="B104" s="159" t="s">
        <v>53</v>
      </c>
      <c r="C104" s="1551" t="s">
        <v>817</v>
      </c>
      <c r="D104" s="1551"/>
    </row>
    <row r="105" spans="2:5">
      <c r="B105" s="159"/>
      <c r="C105" s="162" t="s">
        <v>722</v>
      </c>
      <c r="D105" s="162" t="s">
        <v>818</v>
      </c>
    </row>
    <row r="106" spans="2:5">
      <c r="B106" s="159" t="s">
        <v>52</v>
      </c>
      <c r="C106" s="803">
        <v>1210</v>
      </c>
      <c r="D106" s="159">
        <v>100</v>
      </c>
    </row>
    <row r="107" spans="2:5">
      <c r="B107" s="290" t="s">
        <v>1390</v>
      </c>
      <c r="C107" s="490">
        <v>437</v>
      </c>
      <c r="D107" s="804">
        <f t="shared" ref="D107:D112" si="0">(C107/$C$106)*100</f>
        <v>36.115702479338843</v>
      </c>
      <c r="E107" s="134"/>
    </row>
    <row r="108" spans="2:5">
      <c r="B108" s="290" t="s">
        <v>1392</v>
      </c>
      <c r="C108" s="490">
        <v>190</v>
      </c>
      <c r="D108" s="804">
        <f t="shared" si="0"/>
        <v>15.702479338842975</v>
      </c>
      <c r="E108" s="134"/>
    </row>
    <row r="109" spans="2:5">
      <c r="B109" s="290" t="s">
        <v>1391</v>
      </c>
      <c r="C109" s="490">
        <v>178</v>
      </c>
      <c r="D109" s="804">
        <f t="shared" si="0"/>
        <v>14.710743801652892</v>
      </c>
      <c r="E109" s="134"/>
    </row>
    <row r="110" spans="2:5">
      <c r="B110" s="290" t="s">
        <v>1393</v>
      </c>
      <c r="C110" s="490">
        <v>183</v>
      </c>
      <c r="D110" s="804">
        <f t="shared" si="0"/>
        <v>15.123966942148762</v>
      </c>
      <c r="E110" s="134"/>
    </row>
    <row r="111" spans="2:5">
      <c r="B111" s="290" t="s">
        <v>1394</v>
      </c>
      <c r="C111" s="490">
        <v>78</v>
      </c>
      <c r="D111" s="804">
        <f t="shared" si="0"/>
        <v>6.446280991735537</v>
      </c>
      <c r="E111" s="134"/>
    </row>
    <row r="112" spans="2:5">
      <c r="B112" s="290" t="s">
        <v>1395</v>
      </c>
      <c r="C112" s="490">
        <v>144</v>
      </c>
      <c r="D112" s="804">
        <f t="shared" si="0"/>
        <v>11.900826446280991</v>
      </c>
      <c r="E112" s="134"/>
    </row>
    <row r="114" spans="2:5" ht="15.6">
      <c r="B114" s="86"/>
    </row>
    <row r="115" spans="2:5">
      <c r="B115" s="290" t="s">
        <v>596</v>
      </c>
    </row>
    <row r="116" spans="2:5">
      <c r="B116" s="290" t="s">
        <v>958</v>
      </c>
      <c r="C116" s="290"/>
      <c r="D116" s="290"/>
    </row>
    <row r="117" spans="2:5">
      <c r="B117" s="290" t="s">
        <v>1941</v>
      </c>
      <c r="C117" s="290"/>
      <c r="D117" s="290"/>
    </row>
    <row r="119" spans="2:5">
      <c r="B119" s="159" t="s">
        <v>42</v>
      </c>
      <c r="C119" s="1551" t="s">
        <v>817</v>
      </c>
      <c r="D119" s="1551"/>
    </row>
    <row r="120" spans="2:5">
      <c r="B120" s="805"/>
      <c r="C120" s="162" t="s">
        <v>722</v>
      </c>
      <c r="D120" s="162" t="s">
        <v>818</v>
      </c>
    </row>
    <row r="121" spans="2:5">
      <c r="B121" s="159" t="s">
        <v>52</v>
      </c>
      <c r="C121" s="803">
        <v>4894</v>
      </c>
      <c r="D121" s="159">
        <v>100</v>
      </c>
    </row>
    <row r="122" spans="2:5">
      <c r="B122" s="290" t="s">
        <v>1394</v>
      </c>
      <c r="C122" s="490">
        <v>2126</v>
      </c>
      <c r="D122" s="804">
        <f>(C122/$C$121)*100</f>
        <v>43.440948099713935</v>
      </c>
      <c r="E122" s="134"/>
    </row>
    <row r="123" spans="2:5">
      <c r="B123" s="290" t="s">
        <v>1396</v>
      </c>
      <c r="C123" s="490">
        <v>1253</v>
      </c>
      <c r="D123" s="804">
        <f t="shared" ref="D123" si="1">(C123/$C$121)*100</f>
        <v>25.602778912954637</v>
      </c>
      <c r="E123" s="134"/>
    </row>
    <row r="124" spans="2:5">
      <c r="B124" s="290" t="s">
        <v>1390</v>
      </c>
      <c r="C124" s="490">
        <v>555</v>
      </c>
      <c r="D124" s="804">
        <f>(C124/$C$121)*100</f>
        <v>11.340416836943195</v>
      </c>
      <c r="E124" s="134"/>
    </row>
    <row r="125" spans="2:5">
      <c r="B125" s="290" t="s">
        <v>1392</v>
      </c>
      <c r="C125" s="490">
        <v>488</v>
      </c>
      <c r="D125" s="804">
        <f>(C125/$C$121)*100</f>
        <v>9.9713935431140168</v>
      </c>
      <c r="E125" s="134"/>
    </row>
    <row r="126" spans="2:5">
      <c r="B126" s="290" t="s">
        <v>1391</v>
      </c>
      <c r="C126" s="490">
        <v>242</v>
      </c>
      <c r="D126" s="804">
        <f>(C126/$C$121)*100</f>
        <v>4.9448304045770328</v>
      </c>
      <c r="E126" s="134"/>
    </row>
    <row r="127" spans="2:5">
      <c r="B127" s="290" t="s">
        <v>1393</v>
      </c>
      <c r="C127" s="490">
        <v>99</v>
      </c>
      <c r="D127" s="804">
        <f>(C127/$C$121)*100</f>
        <v>2.0228851655087863</v>
      </c>
      <c r="E127" s="134"/>
    </row>
    <row r="128" spans="2:5">
      <c r="B128" s="290" t="s">
        <v>1170</v>
      </c>
      <c r="C128" s="267">
        <v>131</v>
      </c>
      <c r="D128" s="804">
        <f>(C128/$C$121)*100</f>
        <v>2.6767470371883939</v>
      </c>
      <c r="E128" s="134"/>
    </row>
    <row r="130" spans="2:7">
      <c r="B130" s="41" t="s">
        <v>1922</v>
      </c>
      <c r="C130" s="87"/>
    </row>
    <row r="133" spans="2:7" ht="17.399999999999999">
      <c r="B133" s="286" t="s">
        <v>1397</v>
      </c>
    </row>
    <row r="135" spans="2:7">
      <c r="B135" s="413" t="s">
        <v>2309</v>
      </c>
      <c r="C135" s="414"/>
      <c r="D135" s="414"/>
      <c r="E135" s="414"/>
      <c r="F135" s="414"/>
      <c r="G135" s="415"/>
    </row>
    <row r="136" spans="2:7" ht="90" customHeight="1">
      <c r="B136" s="416" t="s">
        <v>780</v>
      </c>
      <c r="C136" s="416"/>
      <c r="D136" s="439">
        <v>454577.17899999965</v>
      </c>
      <c r="E136" s="418" t="s">
        <v>781</v>
      </c>
      <c r="F136" s="440">
        <v>326753.41099999973</v>
      </c>
      <c r="G136" s="418" t="s">
        <v>2334</v>
      </c>
    </row>
    <row r="137" spans="2:7" ht="34.200000000000003">
      <c r="B137" s="419"/>
      <c r="C137" s="419"/>
      <c r="D137" s="438"/>
      <c r="E137" s="418" t="s">
        <v>918</v>
      </c>
      <c r="F137" s="440">
        <v>82015.896000000008</v>
      </c>
      <c r="G137" s="418" t="s">
        <v>2335</v>
      </c>
    </row>
    <row r="138" spans="2:7" ht="79.5" customHeight="1">
      <c r="B138" s="416" t="s">
        <v>1633</v>
      </c>
      <c r="C138" s="416"/>
      <c r="D138" s="439">
        <v>82195.843999999925</v>
      </c>
      <c r="E138" s="418" t="s">
        <v>1634</v>
      </c>
      <c r="F138" s="440">
        <v>49802.855000000003</v>
      </c>
      <c r="G138" s="418" t="s">
        <v>2336</v>
      </c>
    </row>
    <row r="139" spans="2:7" ht="22.8">
      <c r="B139" s="422"/>
      <c r="C139" s="422"/>
      <c r="D139" s="440"/>
      <c r="E139" s="418" t="s">
        <v>1635</v>
      </c>
      <c r="F139" s="440">
        <v>32392.98899999999</v>
      </c>
      <c r="G139" s="418" t="s">
        <v>2337</v>
      </c>
    </row>
    <row r="140" spans="2:7" ht="73.5" customHeight="1">
      <c r="B140" s="508" t="s">
        <v>783</v>
      </c>
      <c r="C140" s="508"/>
      <c r="D140" s="439">
        <v>53149.428999999946</v>
      </c>
      <c r="E140" s="418" t="s">
        <v>785</v>
      </c>
      <c r="F140" s="440">
        <v>28880.105</v>
      </c>
      <c r="G140" s="418" t="s">
        <v>2338</v>
      </c>
    </row>
    <row r="141" spans="2:7" ht="79.8">
      <c r="B141" s="422"/>
      <c r="C141" s="422"/>
      <c r="D141" s="440"/>
      <c r="E141" s="418" t="s">
        <v>784</v>
      </c>
      <c r="F141" s="440">
        <v>24269.324000000001</v>
      </c>
      <c r="G141" s="418" t="s">
        <v>2339</v>
      </c>
    </row>
    <row r="142" spans="2:7" ht="66" customHeight="1">
      <c r="B142" s="416" t="s">
        <v>786</v>
      </c>
      <c r="C142" s="416"/>
      <c r="D142" s="439">
        <v>8733.3269999999993</v>
      </c>
      <c r="E142" s="418" t="s">
        <v>787</v>
      </c>
      <c r="F142" s="440">
        <v>6535.1889999999985</v>
      </c>
      <c r="G142" s="418" t="s">
        <v>2340</v>
      </c>
    </row>
    <row r="143" spans="2:7" ht="70.5" customHeight="1">
      <c r="B143" s="416"/>
      <c r="C143" s="416"/>
      <c r="D143" s="439"/>
      <c r="E143" s="423" t="s">
        <v>788</v>
      </c>
      <c r="F143" s="439">
        <v>2198.1379999999999</v>
      </c>
      <c r="G143" s="424" t="s">
        <v>2341</v>
      </c>
    </row>
    <row r="144" spans="2:7">
      <c r="B144" s="425" t="s">
        <v>3</v>
      </c>
      <c r="C144" s="426"/>
      <c r="D144" s="509">
        <v>598655.77899999963</v>
      </c>
      <c r="E144" s="442"/>
      <c r="F144" s="443"/>
      <c r="G144" s="428"/>
    </row>
    <row r="145" spans="2:7" ht="15.6">
      <c r="B145" s="429"/>
      <c r="C145" s="429"/>
      <c r="D145" s="430"/>
      <c r="E145" s="431"/>
      <c r="F145" s="432"/>
      <c r="G145" s="433"/>
    </row>
    <row r="146" spans="2:7">
      <c r="B146" s="413" t="s">
        <v>2310</v>
      </c>
      <c r="C146" s="414"/>
      <c r="D146" s="434"/>
      <c r="E146" s="414"/>
      <c r="F146" s="434"/>
      <c r="G146" s="435"/>
    </row>
    <row r="147" spans="2:7" ht="94.5" customHeight="1">
      <c r="B147" s="806" t="s">
        <v>1633</v>
      </c>
      <c r="C147" s="806"/>
      <c r="D147" s="436">
        <v>157456.40199999997</v>
      </c>
      <c r="E147" s="418" t="s">
        <v>1634</v>
      </c>
      <c r="F147" s="437">
        <v>142069.10699999996</v>
      </c>
      <c r="G147" s="418" t="s">
        <v>2342</v>
      </c>
    </row>
    <row r="148" spans="2:7" ht="22.8">
      <c r="B148" s="807"/>
      <c r="C148" s="807"/>
      <c r="D148" s="438"/>
      <c r="E148" s="418" t="s">
        <v>1635</v>
      </c>
      <c r="F148" s="437">
        <v>15387.294999999996</v>
      </c>
      <c r="G148" s="418" t="s">
        <v>2343</v>
      </c>
    </row>
    <row r="149" spans="2:7" ht="81.75" customHeight="1">
      <c r="B149" s="508" t="s">
        <v>780</v>
      </c>
      <c r="C149" s="508"/>
      <c r="D149" s="439">
        <v>131045.61399999993</v>
      </c>
      <c r="E149" s="418" t="s">
        <v>781</v>
      </c>
      <c r="F149" s="440">
        <v>101728.38299999996</v>
      </c>
      <c r="G149" s="418" t="s">
        <v>2344</v>
      </c>
    </row>
    <row r="150" spans="2:7" ht="34.200000000000003">
      <c r="B150" s="808"/>
      <c r="C150" s="808"/>
      <c r="D150" s="440"/>
      <c r="E150" s="418" t="s">
        <v>782</v>
      </c>
      <c r="F150" s="440">
        <v>18802.332999999999</v>
      </c>
      <c r="G150" s="418" t="s">
        <v>2345</v>
      </c>
    </row>
    <row r="151" spans="2:7" ht="67.5" customHeight="1">
      <c r="B151" s="806" t="s">
        <v>786</v>
      </c>
      <c r="C151" s="806"/>
      <c r="D151" s="439">
        <v>19965.367000000009</v>
      </c>
      <c r="E151" s="418" t="s">
        <v>787</v>
      </c>
      <c r="F151" s="440">
        <v>12400.900999999998</v>
      </c>
      <c r="G151" s="418" t="s">
        <v>2346</v>
      </c>
    </row>
    <row r="152" spans="2:7" ht="66" customHeight="1">
      <c r="B152" s="808"/>
      <c r="C152" s="808"/>
      <c r="D152" s="440"/>
      <c r="E152" s="418" t="s">
        <v>788</v>
      </c>
      <c r="F152" s="440">
        <v>7564.4659999999994</v>
      </c>
      <c r="G152" s="418" t="s">
        <v>2347</v>
      </c>
    </row>
    <row r="153" spans="2:7" ht="74.25" customHeight="1">
      <c r="B153" s="508" t="s">
        <v>783</v>
      </c>
      <c r="C153" s="508"/>
      <c r="D153" s="439">
        <v>18022.64</v>
      </c>
      <c r="E153" s="418" t="s">
        <v>785</v>
      </c>
      <c r="F153" s="440">
        <v>9237.3759999999984</v>
      </c>
      <c r="G153" s="418" t="s">
        <v>2348</v>
      </c>
    </row>
    <row r="154" spans="2:7" ht="79.8">
      <c r="B154" s="806"/>
      <c r="C154" s="806"/>
      <c r="D154" s="439"/>
      <c r="E154" s="423" t="s">
        <v>784</v>
      </c>
      <c r="F154" s="439">
        <v>8785.2639999999992</v>
      </c>
      <c r="G154" s="423" t="s">
        <v>2349</v>
      </c>
    </row>
    <row r="155" spans="2:7">
      <c r="B155" s="425" t="s">
        <v>3</v>
      </c>
      <c r="C155" s="426"/>
      <c r="D155" s="509">
        <v>326490.02299999993</v>
      </c>
      <c r="E155" s="442"/>
      <c r="F155" s="443"/>
      <c r="G155" s="428"/>
    </row>
    <row r="157" spans="2:7">
      <c r="B157" s="442" t="s">
        <v>2311</v>
      </c>
      <c r="C157" s="444"/>
      <c r="D157" s="415"/>
      <c r="E157" s="415"/>
      <c r="F157" s="415"/>
      <c r="G157" s="415"/>
    </row>
    <row r="158" spans="2:7">
      <c r="B158" s="445" t="s">
        <v>13</v>
      </c>
      <c r="C158" s="510">
        <v>135430.905</v>
      </c>
      <c r="D158" s="448" t="s">
        <v>2314</v>
      </c>
      <c r="E158" s="448"/>
      <c r="F158" s="445"/>
      <c r="G158" s="809"/>
    </row>
    <row r="159" spans="2:7">
      <c r="B159" s="445" t="s">
        <v>35</v>
      </c>
      <c r="C159" s="510">
        <v>63981.874000000003</v>
      </c>
      <c r="D159" s="448" t="s">
        <v>2315</v>
      </c>
      <c r="E159" s="448"/>
      <c r="F159" s="445"/>
      <c r="G159" s="809"/>
    </row>
    <row r="160" spans="2:7">
      <c r="B160" s="445" t="s">
        <v>37</v>
      </c>
      <c r="C160" s="510">
        <v>49227.446000000011</v>
      </c>
      <c r="D160" s="448" t="s">
        <v>2316</v>
      </c>
      <c r="E160" s="448"/>
      <c r="F160" s="445"/>
      <c r="G160" s="809"/>
    </row>
    <row r="161" spans="2:7">
      <c r="B161" s="445" t="s">
        <v>12</v>
      </c>
      <c r="C161" s="510">
        <v>22594.967000000004</v>
      </c>
      <c r="D161" s="448" t="s">
        <v>2317</v>
      </c>
      <c r="E161" s="448"/>
      <c r="F161" s="445"/>
      <c r="G161" s="809"/>
    </row>
    <row r="162" spans="2:7">
      <c r="B162" s="445" t="s">
        <v>9</v>
      </c>
      <c r="C162" s="510">
        <v>10581.067000000003</v>
      </c>
      <c r="D162" s="448" t="s">
        <v>2318</v>
      </c>
      <c r="E162" s="448"/>
      <c r="F162" s="445"/>
      <c r="G162" s="809"/>
    </row>
    <row r="163" spans="2:7">
      <c r="B163" s="445" t="s">
        <v>16</v>
      </c>
      <c r="C163" s="510">
        <v>9864.8339999999989</v>
      </c>
      <c r="D163" s="448" t="s">
        <v>2319</v>
      </c>
      <c r="E163" s="448"/>
      <c r="F163" s="445"/>
      <c r="G163" s="809"/>
    </row>
    <row r="164" spans="2:7">
      <c r="B164" s="445" t="s">
        <v>10</v>
      </c>
      <c r="C164" s="510">
        <v>6819.366</v>
      </c>
      <c r="D164" s="448" t="s">
        <v>2320</v>
      </c>
      <c r="E164" s="448"/>
      <c r="F164" s="445"/>
      <c r="G164" s="809"/>
    </row>
    <row r="165" spans="2:7">
      <c r="B165" s="445" t="s">
        <v>1398</v>
      </c>
      <c r="C165" s="510">
        <v>5696.4260000000004</v>
      </c>
      <c r="D165" s="448" t="s">
        <v>2321</v>
      </c>
      <c r="E165" s="448"/>
      <c r="F165" s="445"/>
      <c r="G165" s="809"/>
    </row>
    <row r="166" spans="2:7">
      <c r="B166" s="445" t="s">
        <v>6</v>
      </c>
      <c r="C166" s="510">
        <v>5534.8530000000001</v>
      </c>
      <c r="D166" s="448" t="s">
        <v>2322</v>
      </c>
      <c r="E166" s="448"/>
      <c r="F166" s="445"/>
      <c r="G166" s="809"/>
    </row>
    <row r="167" spans="2:7">
      <c r="B167" s="445" t="s">
        <v>27</v>
      </c>
      <c r="C167" s="510">
        <v>2849.7770000000005</v>
      </c>
      <c r="D167" s="448" t="s">
        <v>2323</v>
      </c>
      <c r="E167" s="448"/>
      <c r="F167" s="445"/>
      <c r="G167" s="809"/>
    </row>
    <row r="168" spans="2:7">
      <c r="B168" s="290" t="s">
        <v>1623</v>
      </c>
      <c r="C168" s="490">
        <v>13908.508000000147</v>
      </c>
      <c r="D168" s="454"/>
      <c r="E168" s="454"/>
      <c r="F168" s="454"/>
    </row>
    <row r="169" spans="2:7">
      <c r="B169" s="425" t="s">
        <v>3</v>
      </c>
      <c r="C169" s="441">
        <v>326490.0230000001</v>
      </c>
      <c r="D169" s="442" t="s">
        <v>1399</v>
      </c>
      <c r="E169" s="442"/>
      <c r="F169" s="428"/>
      <c r="G169" s="428"/>
    </row>
    <row r="170" spans="2:7">
      <c r="C170" s="456"/>
    </row>
    <row r="171" spans="2:7">
      <c r="B171" s="442" t="s">
        <v>2312</v>
      </c>
      <c r="C171" s="457"/>
      <c r="D171" s="415"/>
      <c r="E171" s="415"/>
      <c r="F171" s="415"/>
      <c r="G171" s="415"/>
    </row>
    <row r="172" spans="2:7">
      <c r="B172" s="445" t="s">
        <v>9</v>
      </c>
      <c r="C172" s="510">
        <v>168456.31700000001</v>
      </c>
      <c r="D172" s="448" t="s">
        <v>2324</v>
      </c>
      <c r="E172" s="448"/>
      <c r="F172" s="445"/>
      <c r="G172" s="809"/>
    </row>
    <row r="173" spans="2:7">
      <c r="B173" s="445" t="s">
        <v>13</v>
      </c>
      <c r="C173" s="510">
        <v>107887.894</v>
      </c>
      <c r="D173" s="448" t="s">
        <v>2325</v>
      </c>
      <c r="E173" s="448"/>
      <c r="F173" s="445"/>
      <c r="G173" s="809"/>
    </row>
    <row r="174" spans="2:7">
      <c r="B174" s="445" t="s">
        <v>16</v>
      </c>
      <c r="C174" s="510">
        <v>74307.170000000013</v>
      </c>
      <c r="D174" s="448" t="s">
        <v>2326</v>
      </c>
      <c r="E174" s="448"/>
      <c r="F174" s="445"/>
      <c r="G174" s="809"/>
    </row>
    <row r="175" spans="2:7">
      <c r="B175" s="445" t="s">
        <v>10</v>
      </c>
      <c r="C175" s="510">
        <v>47175.532999999996</v>
      </c>
      <c r="D175" s="448" t="s">
        <v>2327</v>
      </c>
      <c r="E175" s="448"/>
      <c r="F175" s="445"/>
      <c r="G175" s="809"/>
    </row>
    <row r="176" spans="2:7">
      <c r="B176" s="445" t="s">
        <v>1398</v>
      </c>
      <c r="C176" s="510">
        <v>39222.050000000003</v>
      </c>
      <c r="D176" s="448" t="s">
        <v>2328</v>
      </c>
      <c r="E176" s="448"/>
      <c r="F176" s="445"/>
      <c r="G176" s="809"/>
    </row>
    <row r="177" spans="2:7">
      <c r="B177" s="445" t="s">
        <v>12</v>
      </c>
      <c r="C177" s="510">
        <v>39071.817999999985</v>
      </c>
      <c r="D177" s="448" t="s">
        <v>2329</v>
      </c>
      <c r="E177" s="448"/>
      <c r="F177" s="445"/>
      <c r="G177" s="809"/>
    </row>
    <row r="178" spans="2:7">
      <c r="B178" s="445" t="s">
        <v>6</v>
      </c>
      <c r="C178" s="510">
        <v>14802.907999999998</v>
      </c>
      <c r="D178" s="448" t="s">
        <v>2330</v>
      </c>
      <c r="E178" s="448"/>
      <c r="F178" s="445"/>
      <c r="G178" s="809"/>
    </row>
    <row r="179" spans="2:7">
      <c r="B179" s="445" t="s">
        <v>2313</v>
      </c>
      <c r="C179" s="510">
        <v>13889.248</v>
      </c>
      <c r="D179" s="448" t="s">
        <v>2331</v>
      </c>
      <c r="E179" s="448"/>
      <c r="F179" s="445"/>
      <c r="G179" s="809"/>
    </row>
    <row r="180" spans="2:7">
      <c r="B180" s="445" t="s">
        <v>20</v>
      </c>
      <c r="C180" s="510">
        <v>13508.873</v>
      </c>
      <c r="D180" s="448" t="s">
        <v>2332</v>
      </c>
      <c r="E180" s="448"/>
      <c r="F180" s="445"/>
      <c r="G180" s="809"/>
    </row>
    <row r="181" spans="2:7">
      <c r="B181" s="445" t="s">
        <v>19</v>
      </c>
      <c r="C181" s="510">
        <v>8235.2099999999991</v>
      </c>
      <c r="D181" s="448" t="s">
        <v>2333</v>
      </c>
      <c r="E181" s="448"/>
      <c r="F181" s="445"/>
      <c r="G181" s="809"/>
    </row>
    <row r="182" spans="2:7">
      <c r="B182" s="290" t="s">
        <v>1623</v>
      </c>
      <c r="C182" s="490">
        <v>72098.757999998983</v>
      </c>
      <c r="D182" s="454"/>
      <c r="E182" s="454"/>
      <c r="F182" s="454"/>
      <c r="G182" s="454"/>
    </row>
    <row r="183" spans="2:7">
      <c r="B183" s="425" t="s">
        <v>3</v>
      </c>
      <c r="C183" s="441">
        <v>598655.77899999905</v>
      </c>
      <c r="D183" s="442" t="s">
        <v>1400</v>
      </c>
      <c r="E183" s="442"/>
      <c r="F183" s="428"/>
      <c r="G183" s="428"/>
    </row>
    <row r="184" spans="2:7">
      <c r="B184" s="87" t="s">
        <v>2391</v>
      </c>
    </row>
  </sheetData>
  <mergeCells count="2">
    <mergeCell ref="C104:D104"/>
    <mergeCell ref="C119:D119"/>
  </mergeCells>
  <hyperlinks>
    <hyperlink ref="B21" r:id="rId1" display="Source: Worldbank, 2017, World Development Indicators " xr:uid="{00000000-0004-0000-2000-000000000000}"/>
    <hyperlink ref="B41" r:id="rId2" xr:uid="{00000000-0004-0000-2000-000001000000}"/>
    <hyperlink ref="B58" r:id="rId3" xr:uid="{00000000-0004-0000-2000-000002000000}"/>
    <hyperlink ref="B75" r:id="rId4" display="Source: Ministerio de Agricultura, Alimentacion y Medio Ambiente: Avance de Anuario de Estadistica 2020, Capitulo 7.7.1.1 Flores y plantas ornamentales" xr:uid="{00000000-0004-0000-2000-000003000000}"/>
    <hyperlink ref="B96" r:id="rId5" xr:uid="{00000000-0004-0000-2000-000004000000}"/>
    <hyperlink ref="B130" r:id="rId6" xr:uid="{00000000-0004-0000-2000-000005000000}"/>
  </hyperlinks>
  <pageMargins left="0.7" right="0.7" top="0.78740157499999996" bottom="0.78740157499999996" header="0.3" footer="0.3"/>
  <pageSetup paperSize="9" orientation="portrait" r:id="rId7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00B050"/>
  </sheetPr>
  <dimension ref="A3:AE111"/>
  <sheetViews>
    <sheetView showGridLines="0" topLeftCell="A47" zoomScale="85" zoomScaleNormal="85" workbookViewId="0">
      <selection activeCell="J24" sqref="J24"/>
    </sheetView>
  </sheetViews>
  <sheetFormatPr defaultColWidth="11.44140625" defaultRowHeight="14.4"/>
  <cols>
    <col min="1" max="1" width="10.109375" customWidth="1"/>
    <col min="2" max="2" width="28.33203125" customWidth="1"/>
    <col min="3" max="10" width="9.33203125" customWidth="1"/>
    <col min="11" max="11" width="9.44140625" customWidth="1"/>
    <col min="12" max="12" width="36.33203125" customWidth="1"/>
    <col min="13" max="21" width="9.44140625" customWidth="1"/>
    <col min="23" max="23" width="10" customWidth="1"/>
  </cols>
  <sheetData>
    <row r="3" spans="2:17" ht="15" customHeight="1">
      <c r="B3" s="83" t="s">
        <v>271</v>
      </c>
    </row>
    <row r="4" spans="2:17" ht="15" customHeight="1">
      <c r="B4" s="83"/>
    </row>
    <row r="5" spans="2:17" ht="15" customHeight="1">
      <c r="B5" s="83" t="s">
        <v>134</v>
      </c>
      <c r="L5" s="83" t="s">
        <v>134</v>
      </c>
    </row>
    <row r="6" spans="2:17" ht="15" customHeight="1">
      <c r="B6" s="93" t="s">
        <v>272</v>
      </c>
      <c r="L6" s="93" t="s">
        <v>46</v>
      </c>
    </row>
    <row r="7" spans="2:17" ht="15" customHeight="1">
      <c r="B7" s="194"/>
      <c r="C7" s="115">
        <v>2023</v>
      </c>
      <c r="D7" s="115">
        <v>2020</v>
      </c>
      <c r="E7" s="115">
        <v>2017</v>
      </c>
      <c r="F7" s="115">
        <v>2014</v>
      </c>
      <c r="G7" s="115">
        <v>2011</v>
      </c>
      <c r="H7" s="115">
        <v>2008</v>
      </c>
      <c r="I7" s="94"/>
      <c r="L7" s="194"/>
      <c r="M7" s="85">
        <v>2023</v>
      </c>
      <c r="N7" s="115" t="s">
        <v>505</v>
      </c>
      <c r="O7" s="115" t="s">
        <v>1342</v>
      </c>
      <c r="P7" s="115" t="s">
        <v>1930</v>
      </c>
      <c r="Q7" s="115" t="s">
        <v>1931</v>
      </c>
    </row>
    <row r="8" spans="2:17" ht="15" customHeight="1" thickBot="1">
      <c r="B8" s="49" t="s">
        <v>134</v>
      </c>
      <c r="C8" s="1144">
        <v>5391</v>
      </c>
      <c r="D8" s="669">
        <v>3581</v>
      </c>
      <c r="E8" s="45">
        <v>4041</v>
      </c>
      <c r="F8" s="45">
        <v>3327</v>
      </c>
      <c r="G8" s="45">
        <v>2568</v>
      </c>
      <c r="H8" s="45">
        <v>3636</v>
      </c>
      <c r="I8" s="122"/>
      <c r="L8" s="84" t="s">
        <v>75</v>
      </c>
      <c r="M8" s="95">
        <v>13</v>
      </c>
      <c r="N8" s="46">
        <v>13</v>
      </c>
      <c r="O8" s="46">
        <v>13</v>
      </c>
      <c r="P8" s="46">
        <v>11</v>
      </c>
      <c r="Q8" s="46">
        <v>11</v>
      </c>
    </row>
    <row r="9" spans="2:17" ht="15" customHeight="1" thickBot="1">
      <c r="B9" s="49" t="s">
        <v>338</v>
      </c>
      <c r="C9" s="1144">
        <v>169481</v>
      </c>
      <c r="D9" s="45">
        <v>147799</v>
      </c>
      <c r="E9" s="45">
        <v>151120</v>
      </c>
      <c r="F9" s="45">
        <v>142045</v>
      </c>
      <c r="G9" s="45">
        <v>152776</v>
      </c>
      <c r="H9" s="45">
        <v>130320</v>
      </c>
      <c r="I9" s="122"/>
      <c r="L9" s="97" t="s">
        <v>51</v>
      </c>
      <c r="M9" s="129">
        <v>27</v>
      </c>
      <c r="N9" s="189">
        <v>25</v>
      </c>
      <c r="O9" s="189">
        <v>23</v>
      </c>
      <c r="P9" s="189">
        <v>24</v>
      </c>
      <c r="Q9" s="189">
        <v>23</v>
      </c>
    </row>
    <row r="10" spans="2:17" ht="15" customHeight="1" thickBot="1">
      <c r="B10" s="84" t="s">
        <v>141</v>
      </c>
      <c r="C10" s="1143">
        <v>167973</v>
      </c>
      <c r="D10" s="46">
        <v>146340</v>
      </c>
      <c r="E10" s="188">
        <v>150971</v>
      </c>
      <c r="F10" s="188">
        <v>141824</v>
      </c>
      <c r="G10" s="188">
        <v>152428</v>
      </c>
      <c r="H10" s="46">
        <v>125727</v>
      </c>
      <c r="I10" s="121"/>
      <c r="L10" s="85" t="s">
        <v>440</v>
      </c>
      <c r="M10" s="85">
        <v>40</v>
      </c>
      <c r="N10" s="48">
        <v>38</v>
      </c>
      <c r="O10" s="48">
        <v>36</v>
      </c>
      <c r="P10" s="48">
        <v>35</v>
      </c>
      <c r="Q10" s="48">
        <v>34</v>
      </c>
    </row>
    <row r="11" spans="2:17" ht="15" customHeight="1" thickBot="1">
      <c r="B11" s="84" t="s">
        <v>273</v>
      </c>
      <c r="C11" s="1143">
        <v>75</v>
      </c>
      <c r="D11" s="46">
        <v>39</v>
      </c>
      <c r="E11" s="188">
        <v>42</v>
      </c>
      <c r="F11" s="188">
        <v>104</v>
      </c>
      <c r="G11" s="188">
        <v>336</v>
      </c>
      <c r="H11" s="46">
        <v>456</v>
      </c>
      <c r="I11" s="121"/>
      <c r="L11" s="87" t="s">
        <v>1925</v>
      </c>
    </row>
    <row r="12" spans="2:17" ht="15" customHeight="1">
      <c r="B12" s="97" t="s">
        <v>129</v>
      </c>
      <c r="C12" s="1166">
        <v>1434</v>
      </c>
      <c r="D12" s="189">
        <v>1420</v>
      </c>
      <c r="E12" s="189">
        <v>107</v>
      </c>
      <c r="F12" s="189">
        <v>117</v>
      </c>
      <c r="G12" s="189" t="s">
        <v>59</v>
      </c>
      <c r="H12" s="189">
        <v>501</v>
      </c>
      <c r="I12" s="121"/>
      <c r="L12" s="87" t="s">
        <v>1932</v>
      </c>
    </row>
    <row r="13" spans="2:17" ht="15" customHeight="1">
      <c r="B13" s="85" t="s">
        <v>52</v>
      </c>
      <c r="C13" s="1244">
        <v>174872</v>
      </c>
      <c r="D13" s="48">
        <v>151380</v>
      </c>
      <c r="E13" s="48">
        <v>155161</v>
      </c>
      <c r="F13" s="48">
        <v>145372</v>
      </c>
      <c r="G13" s="48">
        <v>155344</v>
      </c>
      <c r="H13" s="48">
        <v>133956</v>
      </c>
      <c r="I13" s="122"/>
    </row>
    <row r="14" spans="2:17" ht="15" customHeight="1">
      <c r="B14" s="12"/>
    </row>
    <row r="15" spans="2:17" ht="15" customHeight="1">
      <c r="B15" s="83" t="s">
        <v>337</v>
      </c>
    </row>
    <row r="16" spans="2:17" ht="15" customHeight="1">
      <c r="B16" s="93" t="s">
        <v>272</v>
      </c>
      <c r="C16" s="16"/>
      <c r="D16" s="16"/>
      <c r="E16" s="16"/>
    </row>
    <row r="17" spans="2:20" ht="15" customHeight="1">
      <c r="B17" s="194"/>
      <c r="C17" s="115">
        <v>2023</v>
      </c>
      <c r="D17" s="115">
        <v>2020</v>
      </c>
      <c r="E17" s="115">
        <v>2017</v>
      </c>
      <c r="F17" s="115">
        <v>2014</v>
      </c>
      <c r="G17" s="115">
        <v>2011</v>
      </c>
      <c r="H17" s="115">
        <v>2008</v>
      </c>
      <c r="I17" s="94"/>
      <c r="L17" s="83" t="s">
        <v>337</v>
      </c>
    </row>
    <row r="18" spans="2:20" ht="15" customHeight="1" thickBot="1">
      <c r="B18" s="49" t="s">
        <v>337</v>
      </c>
      <c r="C18" s="2"/>
      <c r="D18" s="47"/>
      <c r="E18" s="47"/>
      <c r="F18" s="47"/>
      <c r="G18" s="47"/>
      <c r="H18" s="47"/>
      <c r="I18" s="191"/>
      <c r="L18" s="93" t="s">
        <v>46</v>
      </c>
    </row>
    <row r="19" spans="2:20" ht="15" customHeight="1" thickBot="1">
      <c r="B19" s="84" t="s">
        <v>274</v>
      </c>
      <c r="C19" s="1143">
        <v>6571</v>
      </c>
      <c r="D19" s="47">
        <v>7181</v>
      </c>
      <c r="E19" s="47">
        <v>6875</v>
      </c>
      <c r="F19" s="47">
        <v>6474</v>
      </c>
      <c r="G19" s="47">
        <v>6598</v>
      </c>
      <c r="H19" s="47">
        <v>6439</v>
      </c>
      <c r="I19" s="191"/>
      <c r="L19" s="194"/>
      <c r="M19" s="194"/>
      <c r="N19" s="85">
        <v>2023</v>
      </c>
      <c r="O19" s="115" t="s">
        <v>505</v>
      </c>
      <c r="P19" s="115" t="s">
        <v>1342</v>
      </c>
      <c r="Q19" s="115" t="s">
        <v>1933</v>
      </c>
      <c r="R19" s="115" t="s">
        <v>1615</v>
      </c>
    </row>
    <row r="20" spans="2:20" ht="15" customHeight="1" thickBot="1">
      <c r="B20" s="84" t="s">
        <v>273</v>
      </c>
      <c r="C20" s="1143">
        <v>5942</v>
      </c>
      <c r="D20" s="47">
        <v>5573</v>
      </c>
      <c r="E20" s="188">
        <v>5757</v>
      </c>
      <c r="F20" s="188">
        <v>4990</v>
      </c>
      <c r="G20" s="188">
        <v>7230</v>
      </c>
      <c r="H20" s="47">
        <v>3050</v>
      </c>
      <c r="I20" s="191"/>
      <c r="L20" s="84" t="s">
        <v>50</v>
      </c>
      <c r="M20" s="84"/>
      <c r="N20" s="95">
        <v>10</v>
      </c>
      <c r="O20" s="46">
        <v>9</v>
      </c>
      <c r="P20" s="46">
        <v>10</v>
      </c>
      <c r="Q20" s="46">
        <v>9</v>
      </c>
      <c r="R20" s="46" t="s">
        <v>59</v>
      </c>
    </row>
    <row r="21" spans="2:20" ht="15" customHeight="1" thickBot="1">
      <c r="B21" s="84" t="s">
        <v>144</v>
      </c>
      <c r="C21" s="1143">
        <v>2411</v>
      </c>
      <c r="D21" s="47">
        <v>2605</v>
      </c>
      <c r="E21" s="47">
        <v>2645</v>
      </c>
      <c r="F21" s="47">
        <v>2480</v>
      </c>
      <c r="G21" s="47">
        <v>2763</v>
      </c>
      <c r="H21" s="47">
        <v>2300</v>
      </c>
      <c r="I21" s="191"/>
      <c r="L21" s="10" t="s">
        <v>1939</v>
      </c>
      <c r="R21" s="196"/>
      <c r="S21" s="133"/>
      <c r="T21" s="133"/>
    </row>
    <row r="22" spans="2:20" ht="15" customHeight="1">
      <c r="B22" s="152" t="s">
        <v>129</v>
      </c>
      <c r="C22" s="1163">
        <v>1152</v>
      </c>
      <c r="D22" s="191">
        <v>458</v>
      </c>
      <c r="E22" s="191">
        <v>933</v>
      </c>
      <c r="F22" s="191">
        <v>1157</v>
      </c>
      <c r="G22" s="191">
        <v>928</v>
      </c>
      <c r="H22" s="191">
        <v>1412</v>
      </c>
      <c r="I22" s="191"/>
      <c r="L22" s="87" t="s">
        <v>1925</v>
      </c>
    </row>
    <row r="23" spans="2:20" ht="15" customHeight="1">
      <c r="B23" s="85" t="s">
        <v>52</v>
      </c>
      <c r="C23" s="1244">
        <v>16075</v>
      </c>
      <c r="D23" s="192">
        <v>15818</v>
      </c>
      <c r="E23" s="192">
        <v>16210</v>
      </c>
      <c r="F23" s="192">
        <v>15101</v>
      </c>
      <c r="G23" s="192">
        <v>17519</v>
      </c>
      <c r="H23" s="192">
        <v>13201</v>
      </c>
      <c r="I23" s="1256"/>
      <c r="L23" s="87" t="s">
        <v>1932</v>
      </c>
      <c r="M23" s="83"/>
    </row>
    <row r="24" spans="2:20" ht="15" customHeight="1"/>
    <row r="25" spans="2:20" ht="15" customHeight="1"/>
    <row r="26" spans="2:20" ht="15" customHeight="1">
      <c r="B26" s="83" t="s">
        <v>432</v>
      </c>
      <c r="L26" s="83" t="s">
        <v>356</v>
      </c>
    </row>
    <row r="27" spans="2:20" ht="15" customHeight="1">
      <c r="B27" s="93" t="s">
        <v>272</v>
      </c>
      <c r="L27" s="93" t="s">
        <v>137</v>
      </c>
    </row>
    <row r="28" spans="2:20" ht="15" customHeight="1">
      <c r="B28" s="194"/>
      <c r="C28" s="115">
        <v>2023</v>
      </c>
      <c r="D28" s="115">
        <v>2020</v>
      </c>
      <c r="E28" s="115">
        <v>2017</v>
      </c>
      <c r="F28" s="115">
        <v>2014</v>
      </c>
      <c r="G28" s="115">
        <v>2011</v>
      </c>
      <c r="H28" s="115">
        <v>2008</v>
      </c>
      <c r="I28" s="115">
        <v>2005</v>
      </c>
      <c r="L28" s="13"/>
      <c r="M28" s="13"/>
      <c r="N28" s="229"/>
      <c r="O28" s="229"/>
      <c r="P28" s="228"/>
      <c r="Q28" s="228"/>
      <c r="R28" s="228"/>
      <c r="S28" s="228"/>
      <c r="T28" s="1124"/>
    </row>
    <row r="29" spans="2:20" ht="15" customHeight="1" thickBot="1">
      <c r="B29" s="84" t="s">
        <v>275</v>
      </c>
      <c r="C29" s="1143">
        <v>8644</v>
      </c>
      <c r="D29" s="47">
        <v>9509</v>
      </c>
      <c r="E29" s="47">
        <v>9830</v>
      </c>
      <c r="F29" s="47">
        <v>10042</v>
      </c>
      <c r="G29" s="47">
        <v>9609</v>
      </c>
      <c r="H29" s="47">
        <v>10573</v>
      </c>
      <c r="I29" s="47" t="s">
        <v>59</v>
      </c>
      <c r="J29" s="152"/>
      <c r="K29" s="152"/>
      <c r="L29" s="13"/>
      <c r="M29" s="153"/>
      <c r="N29" s="153"/>
      <c r="O29" s="228"/>
      <c r="P29" s="228"/>
      <c r="Q29" s="228"/>
      <c r="R29" s="228"/>
      <c r="S29" s="228"/>
      <c r="T29" s="1124"/>
    </row>
    <row r="30" spans="2:20" ht="15" customHeight="1" thickBot="1">
      <c r="B30" s="84" t="s">
        <v>127</v>
      </c>
      <c r="C30" s="1143">
        <v>869</v>
      </c>
      <c r="D30" s="47">
        <v>742</v>
      </c>
      <c r="E30" s="47">
        <v>763</v>
      </c>
      <c r="F30" s="47">
        <v>544</v>
      </c>
      <c r="G30" s="47">
        <v>449</v>
      </c>
      <c r="H30" s="47">
        <v>127</v>
      </c>
      <c r="I30" s="47" t="s">
        <v>59</v>
      </c>
      <c r="J30" s="152"/>
      <c r="K30" s="152"/>
      <c r="L30" s="194"/>
      <c r="M30" s="85">
        <v>2023</v>
      </c>
      <c r="N30" s="115">
        <v>2020</v>
      </c>
      <c r="O30" s="115">
        <v>2017</v>
      </c>
      <c r="P30" s="115">
        <v>2014</v>
      </c>
      <c r="Q30" s="115">
        <v>2011</v>
      </c>
      <c r="R30" s="115">
        <v>2008</v>
      </c>
      <c r="S30" s="115">
        <v>2005</v>
      </c>
      <c r="T30" s="115">
        <v>2002</v>
      </c>
    </row>
    <row r="31" spans="2:20" ht="15" customHeight="1" thickBot="1">
      <c r="B31" s="84" t="s">
        <v>152</v>
      </c>
      <c r="C31" s="1143">
        <v>718</v>
      </c>
      <c r="D31" s="47">
        <v>753</v>
      </c>
      <c r="E31" s="188">
        <v>1391</v>
      </c>
      <c r="F31" s="188">
        <v>2266</v>
      </c>
      <c r="G31" s="188">
        <v>2528</v>
      </c>
      <c r="H31" s="47">
        <v>6387</v>
      </c>
      <c r="I31" s="47">
        <v>5382</v>
      </c>
      <c r="J31" s="152"/>
      <c r="K31" s="152"/>
      <c r="L31" s="49" t="s">
        <v>357</v>
      </c>
      <c r="M31" s="942">
        <v>497</v>
      </c>
      <c r="N31" s="45">
        <v>524</v>
      </c>
      <c r="O31" s="45">
        <v>441</v>
      </c>
      <c r="P31" s="45">
        <v>447</v>
      </c>
      <c r="Q31" s="45">
        <v>467</v>
      </c>
      <c r="R31" s="45">
        <v>419</v>
      </c>
      <c r="S31" s="45">
        <v>393</v>
      </c>
      <c r="T31" s="45">
        <v>435</v>
      </c>
    </row>
    <row r="32" spans="2:20" ht="15" customHeight="1" thickBot="1">
      <c r="B32" s="84" t="s">
        <v>148</v>
      </c>
      <c r="C32" s="1143">
        <v>2490</v>
      </c>
      <c r="D32" s="47">
        <v>2407</v>
      </c>
      <c r="E32" s="46">
        <v>2778</v>
      </c>
      <c r="F32" s="46">
        <v>3344</v>
      </c>
      <c r="G32" s="46">
        <v>3576</v>
      </c>
      <c r="H32" s="47">
        <v>5669</v>
      </c>
      <c r="I32" s="47">
        <v>4592</v>
      </c>
      <c r="J32" s="152"/>
      <c r="K32" s="152"/>
      <c r="L32" s="84" t="s">
        <v>283</v>
      </c>
      <c r="M32" s="89" t="s">
        <v>59</v>
      </c>
      <c r="N32" s="46" t="s">
        <v>59</v>
      </c>
      <c r="O32" s="46">
        <v>213</v>
      </c>
      <c r="P32" s="46">
        <v>202</v>
      </c>
      <c r="Q32" s="46">
        <v>145</v>
      </c>
      <c r="R32" s="46">
        <v>140</v>
      </c>
      <c r="S32" s="46">
        <v>136</v>
      </c>
      <c r="T32" s="46">
        <v>137</v>
      </c>
    </row>
    <row r="33" spans="2:31" ht="15" customHeight="1" thickBot="1">
      <c r="B33" s="84" t="s">
        <v>276</v>
      </c>
      <c r="C33" s="1143">
        <v>296</v>
      </c>
      <c r="D33" s="47">
        <v>415</v>
      </c>
      <c r="E33" s="46">
        <v>485</v>
      </c>
      <c r="F33" s="46">
        <v>418</v>
      </c>
      <c r="G33" s="46">
        <v>298</v>
      </c>
      <c r="H33" s="47">
        <v>262</v>
      </c>
      <c r="I33" s="47" t="s">
        <v>59</v>
      </c>
      <c r="J33" s="152"/>
      <c r="K33" s="152"/>
      <c r="L33" s="84" t="s">
        <v>284</v>
      </c>
      <c r="M33" s="89" t="s">
        <v>59</v>
      </c>
      <c r="N33" s="46" t="s">
        <v>59</v>
      </c>
      <c r="O33" s="46">
        <v>13</v>
      </c>
      <c r="P33" s="46">
        <v>16</v>
      </c>
      <c r="Q33" s="46">
        <v>15</v>
      </c>
      <c r="R33" s="46">
        <v>15</v>
      </c>
      <c r="S33" s="46">
        <v>19</v>
      </c>
      <c r="T33" s="46">
        <v>22</v>
      </c>
    </row>
    <row r="34" spans="2:31" ht="15" customHeight="1" thickBot="1">
      <c r="B34" s="84" t="s">
        <v>277</v>
      </c>
      <c r="C34" s="1143">
        <v>1445</v>
      </c>
      <c r="D34" s="47">
        <v>1576</v>
      </c>
      <c r="E34" s="46">
        <v>1419</v>
      </c>
      <c r="F34" s="46">
        <v>1861</v>
      </c>
      <c r="G34" s="46">
        <v>1001</v>
      </c>
      <c r="H34" s="47">
        <v>3749</v>
      </c>
      <c r="I34" s="47">
        <v>2089</v>
      </c>
      <c r="J34" s="152"/>
      <c r="K34" s="152"/>
      <c r="L34" s="84" t="s">
        <v>439</v>
      </c>
      <c r="M34" s="89" t="s">
        <v>59</v>
      </c>
      <c r="N34" s="46" t="s">
        <v>59</v>
      </c>
      <c r="O34" s="46">
        <v>19</v>
      </c>
      <c r="P34" s="46">
        <v>17</v>
      </c>
      <c r="Q34" s="46">
        <v>4</v>
      </c>
      <c r="R34" s="46" t="s">
        <v>59</v>
      </c>
      <c r="S34" s="46" t="s">
        <v>59</v>
      </c>
      <c r="T34" s="46" t="s">
        <v>59</v>
      </c>
    </row>
    <row r="35" spans="2:31" ht="15" customHeight="1" thickBot="1">
      <c r="B35" s="84" t="s">
        <v>266</v>
      </c>
      <c r="C35" s="1143">
        <v>829</v>
      </c>
      <c r="D35" s="47">
        <v>971</v>
      </c>
      <c r="E35" s="46">
        <v>1157</v>
      </c>
      <c r="F35" s="46">
        <v>1328</v>
      </c>
      <c r="G35" s="46">
        <v>1729</v>
      </c>
      <c r="H35" s="47">
        <v>2730</v>
      </c>
      <c r="I35" s="47">
        <v>1587</v>
      </c>
      <c r="J35" s="152"/>
      <c r="K35" s="152"/>
      <c r="L35" s="84" t="s">
        <v>285</v>
      </c>
      <c r="M35" s="89" t="s">
        <v>59</v>
      </c>
      <c r="N35" s="46" t="s">
        <v>59</v>
      </c>
      <c r="O35" s="46">
        <v>38</v>
      </c>
      <c r="P35" s="46">
        <v>45</v>
      </c>
      <c r="Q35" s="46">
        <v>30</v>
      </c>
      <c r="R35" s="46">
        <v>25</v>
      </c>
      <c r="S35" s="46">
        <v>22</v>
      </c>
      <c r="T35" s="46">
        <v>37</v>
      </c>
    </row>
    <row r="36" spans="2:31" ht="15" customHeight="1" thickBot="1">
      <c r="B36" s="84" t="s">
        <v>60</v>
      </c>
      <c r="C36" s="1143">
        <v>372</v>
      </c>
      <c r="D36" s="47">
        <v>707</v>
      </c>
      <c r="E36" s="47">
        <v>967</v>
      </c>
      <c r="F36" s="47">
        <v>878</v>
      </c>
      <c r="G36" s="47">
        <v>954</v>
      </c>
      <c r="H36" s="47">
        <v>958</v>
      </c>
      <c r="I36" s="47" t="s">
        <v>59</v>
      </c>
      <c r="J36" s="152"/>
      <c r="K36" s="152"/>
      <c r="L36" s="84" t="s">
        <v>74</v>
      </c>
      <c r="M36" s="89" t="s">
        <v>59</v>
      </c>
      <c r="N36" s="46" t="s">
        <v>59</v>
      </c>
      <c r="O36" s="46">
        <v>38</v>
      </c>
      <c r="P36" s="46">
        <v>30</v>
      </c>
      <c r="Q36" s="46">
        <v>40</v>
      </c>
      <c r="R36" s="46">
        <v>70</v>
      </c>
      <c r="S36" s="46">
        <v>86</v>
      </c>
      <c r="T36" s="46">
        <v>55</v>
      </c>
    </row>
    <row r="37" spans="2:31" ht="15" customHeight="1" thickBot="1">
      <c r="B37" s="84" t="s">
        <v>150</v>
      </c>
      <c r="C37" s="1143">
        <v>1313</v>
      </c>
      <c r="D37" s="47">
        <v>1517</v>
      </c>
      <c r="E37" s="47">
        <v>1385</v>
      </c>
      <c r="F37" s="47">
        <v>1807</v>
      </c>
      <c r="G37" s="47">
        <v>2728</v>
      </c>
      <c r="H37" s="47">
        <v>2471</v>
      </c>
      <c r="I37" s="47">
        <v>3463</v>
      </c>
      <c r="J37" s="152"/>
      <c r="K37" s="152"/>
      <c r="L37" s="84" t="s">
        <v>286</v>
      </c>
      <c r="M37" s="89" t="s">
        <v>59</v>
      </c>
      <c r="N37" s="46" t="s">
        <v>59</v>
      </c>
      <c r="O37" s="46">
        <v>6</v>
      </c>
      <c r="P37" s="46">
        <v>3</v>
      </c>
      <c r="Q37" s="46">
        <v>5</v>
      </c>
      <c r="R37" s="46">
        <v>4</v>
      </c>
      <c r="S37" s="46">
        <v>10</v>
      </c>
      <c r="T37" s="46">
        <v>23</v>
      </c>
    </row>
    <row r="38" spans="2:31" ht="15" customHeight="1" thickBot="1">
      <c r="B38" s="84" t="s">
        <v>202</v>
      </c>
      <c r="C38" s="1143">
        <v>914</v>
      </c>
      <c r="D38" s="47">
        <v>902</v>
      </c>
      <c r="E38" s="47">
        <v>960</v>
      </c>
      <c r="F38" s="47">
        <v>1030</v>
      </c>
      <c r="G38" s="47">
        <v>1141</v>
      </c>
      <c r="H38" s="47">
        <v>1017</v>
      </c>
      <c r="I38" s="47">
        <v>1140</v>
      </c>
      <c r="J38" s="152"/>
      <c r="K38" s="152"/>
      <c r="L38" s="84" t="s">
        <v>72</v>
      </c>
      <c r="M38" s="89" t="s">
        <v>59</v>
      </c>
      <c r="N38" s="46" t="s">
        <v>59</v>
      </c>
      <c r="O38" s="46">
        <v>29</v>
      </c>
      <c r="P38" s="46">
        <v>31</v>
      </c>
      <c r="Q38" s="46">
        <v>34</v>
      </c>
      <c r="R38" s="46">
        <v>16</v>
      </c>
      <c r="S38" s="46">
        <v>20</v>
      </c>
      <c r="T38" s="46">
        <v>25</v>
      </c>
    </row>
    <row r="39" spans="2:31" ht="15" customHeight="1" thickBot="1">
      <c r="B39" s="84" t="s">
        <v>154</v>
      </c>
      <c r="C39" s="1143">
        <v>420</v>
      </c>
      <c r="D39" s="47">
        <v>678</v>
      </c>
      <c r="E39" s="47">
        <v>789</v>
      </c>
      <c r="F39" s="47">
        <v>996</v>
      </c>
      <c r="G39" s="47">
        <v>921</v>
      </c>
      <c r="H39" s="47">
        <v>1008</v>
      </c>
      <c r="I39" s="47">
        <v>919</v>
      </c>
      <c r="J39" s="152"/>
      <c r="K39" s="152"/>
      <c r="L39" s="84" t="s">
        <v>129</v>
      </c>
      <c r="M39" s="89" t="s">
        <v>59</v>
      </c>
      <c r="N39" s="46" t="s">
        <v>59</v>
      </c>
      <c r="O39" s="46">
        <v>85</v>
      </c>
      <c r="P39" s="46">
        <v>103</v>
      </c>
      <c r="Q39" s="46">
        <v>194</v>
      </c>
      <c r="R39" s="46">
        <v>149</v>
      </c>
      <c r="S39" s="46">
        <v>100</v>
      </c>
      <c r="T39" s="46">
        <v>136</v>
      </c>
    </row>
    <row r="40" spans="2:31" ht="15" customHeight="1" thickBot="1">
      <c r="B40" s="84" t="s">
        <v>278</v>
      </c>
      <c r="C40" s="1143">
        <v>138</v>
      </c>
      <c r="D40" s="47">
        <v>236</v>
      </c>
      <c r="E40" s="188">
        <v>477</v>
      </c>
      <c r="F40" s="188">
        <v>536</v>
      </c>
      <c r="G40" s="188">
        <v>1192</v>
      </c>
      <c r="H40" s="47">
        <v>796</v>
      </c>
      <c r="I40" s="47">
        <v>1600</v>
      </c>
      <c r="J40" s="152"/>
      <c r="K40" s="152"/>
      <c r="L40" s="49" t="s">
        <v>287</v>
      </c>
      <c r="M40" s="69" t="s">
        <v>59</v>
      </c>
      <c r="N40" s="45" t="s">
        <v>59</v>
      </c>
      <c r="O40" s="45">
        <v>95</v>
      </c>
      <c r="P40" s="45">
        <v>88</v>
      </c>
      <c r="Q40" s="45">
        <v>92.2</v>
      </c>
      <c r="R40" s="45">
        <v>51</v>
      </c>
      <c r="S40" s="45">
        <v>55</v>
      </c>
      <c r="T40" s="45">
        <v>80</v>
      </c>
    </row>
    <row r="41" spans="2:31" ht="15" customHeight="1" thickBot="1">
      <c r="B41" s="84" t="s">
        <v>279</v>
      </c>
      <c r="C41" s="1143">
        <v>863</v>
      </c>
      <c r="D41" s="47">
        <v>1001</v>
      </c>
      <c r="E41" s="46">
        <v>635</v>
      </c>
      <c r="F41" s="46">
        <v>645</v>
      </c>
      <c r="G41" s="46">
        <v>747</v>
      </c>
      <c r="H41" s="47">
        <v>744</v>
      </c>
      <c r="I41" s="47">
        <v>760</v>
      </c>
      <c r="J41" s="152"/>
      <c r="K41" s="152"/>
      <c r="L41" s="10" t="s">
        <v>1939</v>
      </c>
    </row>
    <row r="42" spans="2:31" ht="15" customHeight="1" thickBot="1">
      <c r="B42" s="84" t="s">
        <v>280</v>
      </c>
      <c r="C42" s="1143">
        <v>21361</v>
      </c>
      <c r="D42" s="47">
        <v>22986</v>
      </c>
      <c r="E42" s="46">
        <v>24470</v>
      </c>
      <c r="F42" s="46">
        <v>24304</v>
      </c>
      <c r="G42" s="46">
        <v>19432</v>
      </c>
      <c r="H42" s="47">
        <v>17603</v>
      </c>
      <c r="I42" s="47">
        <v>21978</v>
      </c>
      <c r="J42" s="152"/>
      <c r="K42" s="152"/>
      <c r="Z42" s="134"/>
      <c r="AD42" s="134"/>
      <c r="AE42" s="134"/>
    </row>
    <row r="43" spans="2:31" ht="15" customHeight="1" thickBot="1">
      <c r="B43" s="84" t="s">
        <v>269</v>
      </c>
      <c r="C43" s="1143">
        <v>6663</v>
      </c>
      <c r="D43" s="47">
        <v>6596</v>
      </c>
      <c r="E43" s="47">
        <v>6822</v>
      </c>
      <c r="F43" s="47">
        <v>7885</v>
      </c>
      <c r="G43" s="47" t="s">
        <v>59</v>
      </c>
      <c r="H43" s="47" t="s">
        <v>59</v>
      </c>
      <c r="I43" s="47" t="s">
        <v>59</v>
      </c>
      <c r="J43" s="152"/>
      <c r="K43" s="152"/>
      <c r="N43" s="148"/>
      <c r="Z43" s="134"/>
      <c r="AD43" s="134"/>
      <c r="AE43" s="134"/>
    </row>
    <row r="44" spans="2:31" ht="15" customHeight="1" thickBot="1">
      <c r="B44" s="84" t="s">
        <v>265</v>
      </c>
      <c r="C44" s="1143">
        <v>3961</v>
      </c>
      <c r="D44" s="47">
        <v>4398</v>
      </c>
      <c r="E44" s="47">
        <v>5052</v>
      </c>
      <c r="F44" s="47">
        <v>5677</v>
      </c>
      <c r="G44" s="47">
        <v>5335</v>
      </c>
      <c r="H44" s="47">
        <v>4360</v>
      </c>
      <c r="I44" s="47">
        <v>5705</v>
      </c>
      <c r="J44" s="152"/>
      <c r="K44" s="152"/>
      <c r="Z44" s="134"/>
      <c r="AD44" s="134"/>
      <c r="AE44" s="134"/>
    </row>
    <row r="45" spans="2:31" ht="15" customHeight="1" thickBot="1">
      <c r="B45" s="84" t="s">
        <v>281</v>
      </c>
      <c r="C45" s="1143">
        <v>4211</v>
      </c>
      <c r="D45" s="47">
        <v>3665</v>
      </c>
      <c r="E45" s="47">
        <v>3922</v>
      </c>
      <c r="F45" s="47">
        <v>4832</v>
      </c>
      <c r="G45" s="47">
        <v>3884</v>
      </c>
      <c r="H45" s="47">
        <v>4100</v>
      </c>
      <c r="I45" s="47">
        <v>5254</v>
      </c>
      <c r="J45" s="152"/>
      <c r="K45" s="152"/>
      <c r="L45" s="83" t="s">
        <v>1</v>
      </c>
      <c r="Z45" s="134"/>
      <c r="AD45" s="134"/>
      <c r="AE45" s="134"/>
    </row>
    <row r="46" spans="2:31" ht="15" customHeight="1" thickBot="1">
      <c r="B46" s="84" t="s">
        <v>282</v>
      </c>
      <c r="C46" s="1143">
        <v>613</v>
      </c>
      <c r="D46" s="47">
        <v>712</v>
      </c>
      <c r="E46" s="47">
        <v>961</v>
      </c>
      <c r="F46" s="47">
        <v>1407</v>
      </c>
      <c r="G46" s="47">
        <v>1867</v>
      </c>
      <c r="H46" s="47">
        <v>1801</v>
      </c>
      <c r="I46" s="47">
        <v>2719</v>
      </c>
      <c r="J46" s="152"/>
      <c r="K46" s="152"/>
      <c r="L46" s="83"/>
      <c r="Z46" s="134"/>
      <c r="AD46" s="134"/>
      <c r="AE46" s="134"/>
    </row>
    <row r="47" spans="2:31" ht="15" customHeight="1" thickBot="1">
      <c r="B47" s="84" t="s">
        <v>433</v>
      </c>
      <c r="C47" s="1143">
        <v>408</v>
      </c>
      <c r="D47" s="47">
        <v>251</v>
      </c>
      <c r="E47" s="47">
        <v>241</v>
      </c>
      <c r="F47" s="47">
        <v>94</v>
      </c>
      <c r="G47" s="47">
        <v>101</v>
      </c>
      <c r="H47" s="47">
        <v>15</v>
      </c>
      <c r="I47" s="47" t="s">
        <v>59</v>
      </c>
      <c r="J47" s="152"/>
      <c r="K47" s="152"/>
      <c r="L47" s="93" t="s">
        <v>4</v>
      </c>
      <c r="Z47" s="134"/>
      <c r="AD47" s="134"/>
      <c r="AE47" s="134"/>
    </row>
    <row r="48" spans="2:31" ht="15" customHeight="1" thickBot="1">
      <c r="B48" s="84" t="s">
        <v>434</v>
      </c>
      <c r="C48" s="1143">
        <v>306</v>
      </c>
      <c r="D48" s="47">
        <v>331</v>
      </c>
      <c r="E48" s="47">
        <v>487</v>
      </c>
      <c r="F48" s="47">
        <v>40</v>
      </c>
      <c r="G48" s="47">
        <v>48</v>
      </c>
      <c r="H48" s="47" t="s">
        <v>59</v>
      </c>
      <c r="I48" s="47" t="s">
        <v>59</v>
      </c>
      <c r="J48" s="152"/>
      <c r="K48" s="152"/>
      <c r="L48" s="194"/>
      <c r="M48" s="85">
        <v>2020</v>
      </c>
      <c r="N48" s="85">
        <v>2018</v>
      </c>
      <c r="O48" s="85">
        <v>2017</v>
      </c>
      <c r="P48" s="85">
        <v>2016</v>
      </c>
      <c r="Q48" s="85">
        <v>2015</v>
      </c>
      <c r="R48" s="85">
        <v>2014</v>
      </c>
      <c r="S48" s="115">
        <v>2013</v>
      </c>
      <c r="T48" s="115">
        <v>2012</v>
      </c>
      <c r="U48" s="85">
        <v>2011</v>
      </c>
      <c r="V48" s="85">
        <v>2010</v>
      </c>
      <c r="Z48" s="134"/>
      <c r="AD48" s="134"/>
      <c r="AE48" s="134"/>
    </row>
    <row r="49" spans="2:31" ht="15" customHeight="1" thickBot="1">
      <c r="B49" s="84" t="s">
        <v>435</v>
      </c>
      <c r="C49" s="1143">
        <v>2117</v>
      </c>
      <c r="D49" s="47">
        <v>2397</v>
      </c>
      <c r="E49" s="47">
        <v>2581</v>
      </c>
      <c r="F49" s="47">
        <v>2813</v>
      </c>
      <c r="G49" s="47">
        <v>903</v>
      </c>
      <c r="H49" s="47">
        <v>577</v>
      </c>
      <c r="I49" s="47" t="s">
        <v>59</v>
      </c>
      <c r="J49" s="152"/>
      <c r="K49" s="152"/>
      <c r="L49" s="131" t="s">
        <v>475</v>
      </c>
      <c r="M49" s="222">
        <v>74.146341463414629</v>
      </c>
      <c r="N49" s="167">
        <v>71.386097111607185</v>
      </c>
      <c r="O49" s="167">
        <v>75.723137279322486</v>
      </c>
      <c r="P49" s="167">
        <v>65.393023476855817</v>
      </c>
      <c r="Q49" s="167">
        <v>63.024536269845512</v>
      </c>
      <c r="R49" s="984" t="s">
        <v>59</v>
      </c>
      <c r="S49" s="62">
        <v>88</v>
      </c>
      <c r="T49" s="62">
        <v>99</v>
      </c>
      <c r="U49" s="62">
        <v>88</v>
      </c>
      <c r="V49" s="62">
        <v>81</v>
      </c>
      <c r="Z49" s="134"/>
      <c r="AD49" s="134"/>
      <c r="AE49" s="134"/>
    </row>
    <row r="50" spans="2:31" ht="15" customHeight="1" thickBot="1">
      <c r="B50" s="84" t="s">
        <v>436</v>
      </c>
      <c r="C50" s="1143">
        <v>954</v>
      </c>
      <c r="D50" s="47">
        <v>1193</v>
      </c>
      <c r="E50" s="47">
        <v>1154</v>
      </c>
      <c r="F50" s="47">
        <v>1425</v>
      </c>
      <c r="G50" s="47">
        <v>1247</v>
      </c>
      <c r="H50" s="47">
        <v>900</v>
      </c>
      <c r="I50" s="47" t="s">
        <v>59</v>
      </c>
      <c r="J50" s="152"/>
      <c r="K50" s="152"/>
      <c r="L50" s="131" t="s">
        <v>288</v>
      </c>
      <c r="M50" s="222">
        <v>18.73170731707317</v>
      </c>
      <c r="N50" s="167">
        <v>14.846514529697904</v>
      </c>
      <c r="O50" s="167">
        <v>17.332461520897553</v>
      </c>
      <c r="P50" s="167">
        <v>16.13703809312592</v>
      </c>
      <c r="Q50" s="167">
        <v>15.416688939968994</v>
      </c>
      <c r="R50" s="984" t="s">
        <v>59</v>
      </c>
      <c r="S50" s="62">
        <v>16.837940319832938</v>
      </c>
      <c r="T50" s="62">
        <v>19.210541524591108</v>
      </c>
      <c r="U50" s="62">
        <v>18.15236497742443</v>
      </c>
      <c r="V50" s="62">
        <v>12.624864338080577</v>
      </c>
      <c r="Z50" s="134"/>
      <c r="AD50" s="134"/>
      <c r="AE50" s="134"/>
    </row>
    <row r="51" spans="2:31" ht="15" customHeight="1" thickBot="1">
      <c r="B51" s="84" t="s">
        <v>437</v>
      </c>
      <c r="C51" s="1143">
        <v>370</v>
      </c>
      <c r="D51" s="47">
        <v>384</v>
      </c>
      <c r="E51" s="47">
        <v>852</v>
      </c>
      <c r="F51" s="47">
        <v>638</v>
      </c>
      <c r="G51" s="47">
        <v>201</v>
      </c>
      <c r="H51" s="47">
        <v>88</v>
      </c>
      <c r="I51" s="47" t="s">
        <v>59</v>
      </c>
      <c r="J51" s="152"/>
      <c r="K51" s="152"/>
      <c r="L51" s="131" t="s">
        <v>289</v>
      </c>
      <c r="M51" s="222">
        <v>34.926829268292686</v>
      </c>
      <c r="N51" s="167">
        <v>32.597993819638731</v>
      </c>
      <c r="O51" s="167">
        <v>32.423119635499368</v>
      </c>
      <c r="P51" s="167">
        <v>31.925566855706577</v>
      </c>
      <c r="Q51" s="167">
        <v>32.105628908964562</v>
      </c>
      <c r="R51" s="984" t="s">
        <v>59</v>
      </c>
      <c r="S51" s="62">
        <v>31.323844589767546</v>
      </c>
      <c r="T51" s="62">
        <v>34.91880020805641</v>
      </c>
      <c r="U51" s="62">
        <v>33.892073850254476</v>
      </c>
      <c r="V51" s="62">
        <v>31.562160845201443</v>
      </c>
      <c r="Z51" s="134"/>
      <c r="AD51" s="134"/>
      <c r="AE51" s="134"/>
    </row>
    <row r="52" spans="2:31" ht="15" customHeight="1">
      <c r="B52" s="152" t="s">
        <v>438</v>
      </c>
      <c r="C52" s="1163">
        <v>5414</v>
      </c>
      <c r="D52" s="191">
        <v>7310</v>
      </c>
      <c r="E52" s="191">
        <v>14076</v>
      </c>
      <c r="F52" s="191">
        <v>10252</v>
      </c>
      <c r="G52" s="191">
        <v>13280</v>
      </c>
      <c r="H52" s="191">
        <v>20233</v>
      </c>
      <c r="I52" s="191">
        <v>43987</v>
      </c>
      <c r="J52" s="152"/>
      <c r="K52" s="152"/>
      <c r="L52" s="135" t="s">
        <v>290</v>
      </c>
      <c r="M52" s="120">
        <v>104.19512195121951</v>
      </c>
      <c r="N52" s="168">
        <v>99.070996168955901</v>
      </c>
      <c r="O52" s="168">
        <v>93.906653797054517</v>
      </c>
      <c r="P52" s="168">
        <v>90.358964610461626</v>
      </c>
      <c r="Q52" s="168">
        <v>92.938472229646649</v>
      </c>
      <c r="R52" s="951" t="s">
        <v>59</v>
      </c>
      <c r="S52" s="136">
        <v>87.179205363521461</v>
      </c>
      <c r="T52" s="136">
        <v>98.664971392244112</v>
      </c>
      <c r="U52" s="136">
        <v>85.959490355119996</v>
      </c>
      <c r="V52" s="136">
        <v>69.802210458703399</v>
      </c>
      <c r="AD52" s="134"/>
      <c r="AE52" s="134"/>
    </row>
    <row r="53" spans="2:31" ht="15" customHeight="1">
      <c r="B53" s="85" t="s">
        <v>52</v>
      </c>
      <c r="C53" s="1244">
        <v>72131</v>
      </c>
      <c r="D53" s="192">
        <v>77663</v>
      </c>
      <c r="E53" s="192">
        <v>83654</v>
      </c>
      <c r="F53" s="192">
        <v>85062</v>
      </c>
      <c r="G53" s="192">
        <v>73171</v>
      </c>
      <c r="H53" s="192">
        <v>86168</v>
      </c>
      <c r="I53" s="192">
        <v>101175</v>
      </c>
      <c r="J53" s="152"/>
      <c r="K53" s="152"/>
      <c r="L53" s="85" t="s">
        <v>52</v>
      </c>
      <c r="M53" s="107">
        <v>232</v>
      </c>
      <c r="N53" s="107">
        <v>217.9016016299</v>
      </c>
      <c r="O53" s="107">
        <v>219.38537223277393</v>
      </c>
      <c r="P53" s="107">
        <v>203.81459303614994</v>
      </c>
      <c r="Q53" s="107">
        <v>203.4853263484257</v>
      </c>
      <c r="R53" s="115" t="s">
        <v>59</v>
      </c>
      <c r="S53" s="107">
        <v>223.34099027312197</v>
      </c>
      <c r="T53" s="107">
        <v>251.79431312489163</v>
      </c>
      <c r="U53" s="107">
        <v>226.00392918279891</v>
      </c>
      <c r="V53" s="107">
        <v>194.98923564198543</v>
      </c>
    </row>
    <row r="54" spans="2:31" ht="15" customHeight="1" thickBot="1">
      <c r="B54" s="49" t="s">
        <v>339</v>
      </c>
      <c r="C54" s="47" t="s">
        <v>59</v>
      </c>
      <c r="D54" s="45" t="s">
        <v>59</v>
      </c>
      <c r="E54" s="45">
        <v>135219</v>
      </c>
      <c r="F54" s="45">
        <v>183445</v>
      </c>
      <c r="G54" s="190">
        <v>86249</v>
      </c>
      <c r="H54" s="190">
        <v>86282</v>
      </c>
      <c r="I54" s="190"/>
      <c r="J54" s="40"/>
      <c r="L54" s="10" t="s">
        <v>502</v>
      </c>
    </row>
    <row r="55" spans="2:31" ht="15" customHeight="1">
      <c r="B55" s="10" t="s">
        <v>1939</v>
      </c>
      <c r="C55" s="165"/>
      <c r="D55" s="94"/>
      <c r="E55" s="94"/>
      <c r="F55" s="94"/>
      <c r="G55" s="166"/>
      <c r="H55" s="166"/>
      <c r="I55" s="40"/>
      <c r="J55" s="40"/>
    </row>
    <row r="56" spans="2:31" ht="15" customHeight="1">
      <c r="B56" s="10"/>
      <c r="C56" s="165"/>
      <c r="D56" s="94"/>
      <c r="E56" s="94"/>
      <c r="F56" s="94"/>
      <c r="G56" s="166"/>
      <c r="H56" s="166"/>
      <c r="I56" s="40"/>
      <c r="J56" s="40"/>
    </row>
    <row r="57" spans="2:31" ht="15" customHeight="1">
      <c r="B57" s="10"/>
      <c r="C57" s="16"/>
      <c r="D57" s="16"/>
      <c r="E57" s="16"/>
      <c r="F57" s="16"/>
    </row>
    <row r="58" spans="2:31" ht="15" customHeight="1"/>
    <row r="59" spans="2:31" ht="15" customHeight="1">
      <c r="B59" s="83" t="s">
        <v>1788</v>
      </c>
    </row>
    <row r="60" spans="2:31" ht="15" customHeight="1">
      <c r="B60" s="93" t="s">
        <v>77</v>
      </c>
    </row>
    <row r="61" spans="2:31" ht="15" customHeight="1">
      <c r="B61" s="115"/>
      <c r="C61" s="115">
        <v>2023</v>
      </c>
      <c r="D61" s="115" t="s">
        <v>1355</v>
      </c>
      <c r="E61" s="115" t="s">
        <v>1342</v>
      </c>
      <c r="F61" s="115" t="s">
        <v>1930</v>
      </c>
      <c r="G61" s="115" t="s">
        <v>1615</v>
      </c>
      <c r="H61" s="94"/>
    </row>
    <row r="62" spans="2:31" ht="15" customHeight="1" thickBot="1">
      <c r="B62" s="717" t="s">
        <v>50</v>
      </c>
      <c r="C62" s="287">
        <v>377</v>
      </c>
      <c r="D62" s="44">
        <v>445</v>
      </c>
      <c r="E62" s="44">
        <v>500</v>
      </c>
      <c r="F62" s="44">
        <v>547</v>
      </c>
      <c r="G62" s="44">
        <v>439</v>
      </c>
      <c r="H62" s="39"/>
    </row>
    <row r="63" spans="2:31" ht="15" customHeight="1" thickBot="1">
      <c r="B63" s="717" t="s">
        <v>51</v>
      </c>
      <c r="C63" s="22">
        <v>256</v>
      </c>
      <c r="D63" s="44">
        <v>233</v>
      </c>
      <c r="E63" s="44">
        <v>215</v>
      </c>
      <c r="F63" s="44">
        <v>232</v>
      </c>
      <c r="G63" s="44">
        <v>119</v>
      </c>
    </row>
    <row r="64" spans="2:31" ht="15" customHeight="1">
      <c r="B64" s="41" t="s">
        <v>1923</v>
      </c>
    </row>
    <row r="65" spans="2:3" ht="15" customHeight="1">
      <c r="B65" s="87" t="s">
        <v>1935</v>
      </c>
      <c r="C65" s="23"/>
    </row>
    <row r="66" spans="2:3" ht="21.75" customHeight="1"/>
    <row r="67" spans="2:3" ht="15" customHeight="1"/>
    <row r="68" spans="2:3" ht="15" customHeight="1"/>
    <row r="69" spans="2:3" ht="15" customHeight="1"/>
    <row r="70" spans="2:3" ht="15" customHeight="1"/>
    <row r="71" spans="2:3" ht="15" customHeight="1"/>
    <row r="72" spans="2:3" ht="15" customHeight="1"/>
    <row r="73" spans="2:3" ht="15" customHeight="1"/>
    <row r="76" spans="2:3" ht="12" customHeight="1"/>
    <row r="77" spans="2:3" ht="9.75" customHeight="1"/>
    <row r="82" spans="1:2" ht="15.6">
      <c r="B82" s="83"/>
    </row>
    <row r="94" spans="1:2">
      <c r="A94" s="5"/>
    </row>
    <row r="96" spans="1:2" ht="18.75" customHeight="1"/>
    <row r="99" spans="2:17">
      <c r="G99" s="134"/>
    </row>
    <row r="100" spans="2:17">
      <c r="G100" s="134"/>
    </row>
    <row r="102" spans="2:17">
      <c r="B102" s="64"/>
      <c r="C102" s="65"/>
      <c r="D102" s="65"/>
      <c r="E102" s="65"/>
      <c r="F102" s="65"/>
      <c r="G102" s="65"/>
      <c r="H102" s="65"/>
      <c r="I102" s="65"/>
      <c r="J102" s="65"/>
      <c r="K102" s="65"/>
    </row>
    <row r="103" spans="2:17">
      <c r="B103" s="64"/>
      <c r="C103" s="65"/>
      <c r="D103" s="65"/>
      <c r="E103" s="65"/>
      <c r="F103" s="65"/>
      <c r="G103" s="65"/>
      <c r="H103" s="65"/>
      <c r="I103" s="65"/>
      <c r="J103" s="65"/>
      <c r="K103" s="65"/>
      <c r="P103" s="70"/>
      <c r="Q103" s="70"/>
    </row>
    <row r="104" spans="2:17">
      <c r="B104" s="64"/>
      <c r="C104" s="65"/>
      <c r="D104" s="65"/>
      <c r="E104" s="65"/>
      <c r="F104" s="65"/>
      <c r="G104" s="65"/>
      <c r="H104" s="65"/>
      <c r="I104" s="65"/>
      <c r="J104" s="65"/>
      <c r="K104" s="65"/>
      <c r="P104" s="70"/>
      <c r="Q104" s="70"/>
    </row>
    <row r="105" spans="2:17">
      <c r="B105" s="64"/>
      <c r="C105" s="65"/>
      <c r="D105" s="65"/>
      <c r="E105" s="65"/>
      <c r="F105" s="65"/>
      <c r="G105" s="65"/>
      <c r="H105" s="65"/>
      <c r="I105" s="65"/>
      <c r="J105" s="65"/>
      <c r="K105" s="65"/>
      <c r="P105" s="70"/>
      <c r="Q105" s="70"/>
    </row>
    <row r="106" spans="2:17">
      <c r="B106" s="64"/>
      <c r="C106" s="65"/>
      <c r="D106" s="65"/>
      <c r="E106" s="65"/>
      <c r="F106" s="65"/>
      <c r="G106" s="65"/>
      <c r="H106" s="65"/>
      <c r="I106" s="65"/>
      <c r="J106" s="65"/>
      <c r="K106" s="65"/>
      <c r="P106" s="70"/>
      <c r="Q106" s="70"/>
    </row>
    <row r="107" spans="2:17">
      <c r="B107" s="66"/>
      <c r="C107" s="67"/>
      <c r="D107" s="67"/>
      <c r="E107" s="67"/>
      <c r="F107" s="67"/>
      <c r="G107" s="67"/>
      <c r="H107" s="67"/>
      <c r="I107" s="67"/>
      <c r="J107" s="67"/>
      <c r="K107" s="67"/>
      <c r="P107" s="70"/>
      <c r="Q107" s="70"/>
    </row>
    <row r="108" spans="2:17">
      <c r="B108" s="64"/>
      <c r="C108" s="64"/>
      <c r="D108" s="64"/>
      <c r="E108" s="64"/>
      <c r="F108" s="64"/>
      <c r="G108" s="64"/>
      <c r="H108" s="64"/>
      <c r="I108" s="64"/>
      <c r="J108" s="64"/>
      <c r="K108" s="64"/>
      <c r="P108" s="70"/>
      <c r="Q108" s="70"/>
    </row>
    <row r="109" spans="2:17">
      <c r="B109" s="64"/>
      <c r="C109" s="64"/>
      <c r="D109" s="64"/>
      <c r="E109" s="64"/>
      <c r="F109" s="64"/>
      <c r="G109" s="64"/>
      <c r="H109" s="64"/>
      <c r="I109" s="64"/>
      <c r="J109" s="64"/>
      <c r="K109" s="64"/>
      <c r="P109" s="70"/>
      <c r="Q109" s="70"/>
    </row>
    <row r="110" spans="2:17">
      <c r="B110" s="64"/>
      <c r="C110" s="64"/>
      <c r="D110" s="64"/>
      <c r="E110" s="64"/>
      <c r="F110" s="64"/>
      <c r="G110" s="64"/>
      <c r="H110" s="64"/>
      <c r="I110" s="64"/>
      <c r="J110" s="64"/>
      <c r="K110" s="64"/>
      <c r="P110" s="70"/>
      <c r="Q110" s="70"/>
    </row>
    <row r="111" spans="2:17">
      <c r="P111" s="70"/>
      <c r="Q111" s="70"/>
    </row>
  </sheetData>
  <phoneticPr fontId="138" type="noConversion"/>
  <hyperlinks>
    <hyperlink ref="B55" r:id="rId1" display="Source: Swedish Board of Agriculture, Horticultural Census 2024" xr:uid="{00000000-0004-0000-2100-000000000000}"/>
    <hyperlink ref="L21" r:id="rId2" display="Source: Swedish Board of Agriculture, Horticultural Census 2017" xr:uid="{00000000-0004-0000-2100-000001000000}"/>
    <hyperlink ref="L41" r:id="rId3" display="Source: Swedish Board of Agriculture, Garden production 2020" xr:uid="{00000000-0004-0000-2100-000002000000}"/>
    <hyperlink ref="L54" r:id="rId4" location="h-Tabeller" xr:uid="{00000000-0004-0000-2100-000003000000}"/>
    <hyperlink ref="B64" r:id="rId5" display="Source: Swedish Board of Agriculture's statistical database, 2023 / Horticulture / Cultivation / Ornamental plants" xr:uid="{00000000-0004-0000-2100-000004000000}"/>
  </hyperlinks>
  <pageMargins left="0.7" right="0.7" top="0.78740157499999996" bottom="0.78740157499999996" header="0.3" footer="0.3"/>
  <pageSetup paperSize="9" orientation="portrait" r:id="rId6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00B050"/>
  </sheetPr>
  <dimension ref="B3:O41"/>
  <sheetViews>
    <sheetView showGridLines="0" zoomScale="85" zoomScaleNormal="85" workbookViewId="0">
      <selection activeCell="P17" sqref="P17"/>
    </sheetView>
  </sheetViews>
  <sheetFormatPr defaultColWidth="11.44140625" defaultRowHeight="14.4"/>
  <cols>
    <col min="1" max="1" width="6.44140625" customWidth="1"/>
    <col min="2" max="2" width="28.88671875" customWidth="1"/>
    <col min="3" max="13" width="8.6640625" customWidth="1"/>
    <col min="14" max="18" width="7.44140625" customWidth="1"/>
    <col min="19" max="19" width="44.6640625" customWidth="1"/>
  </cols>
  <sheetData>
    <row r="3" spans="2:15" ht="15.6">
      <c r="B3" s="86" t="s">
        <v>291</v>
      </c>
    </row>
    <row r="4" spans="2:15" ht="15.6">
      <c r="B4" s="86"/>
    </row>
    <row r="5" spans="2:15" ht="15.6">
      <c r="B5" s="86" t="s">
        <v>56</v>
      </c>
    </row>
    <row r="6" spans="2:15">
      <c r="B6" s="81" t="s">
        <v>137</v>
      </c>
    </row>
    <row r="7" spans="2:15">
      <c r="B7" s="194"/>
      <c r="C7" s="115">
        <v>2024</v>
      </c>
      <c r="D7" s="115">
        <v>2023</v>
      </c>
      <c r="E7" s="115">
        <v>2022</v>
      </c>
      <c r="F7" s="115">
        <v>2021</v>
      </c>
      <c r="G7" s="115">
        <v>2020</v>
      </c>
      <c r="H7" s="115">
        <v>2019</v>
      </c>
      <c r="I7" s="115">
        <v>2018</v>
      </c>
      <c r="J7" s="115">
        <v>2017</v>
      </c>
      <c r="K7" s="115">
        <v>2016</v>
      </c>
      <c r="L7" s="115">
        <v>2015</v>
      </c>
      <c r="M7" s="115">
        <v>2014</v>
      </c>
      <c r="N7" s="94"/>
      <c r="O7" s="94"/>
    </row>
    <row r="8" spans="2:15" ht="15" thickBot="1">
      <c r="B8" s="84" t="s">
        <v>242</v>
      </c>
      <c r="C8" s="1144">
        <v>718</v>
      </c>
      <c r="D8" s="1207">
        <v>706</v>
      </c>
      <c r="E8" s="984">
        <v>708</v>
      </c>
      <c r="F8" s="984">
        <v>718</v>
      </c>
      <c r="G8" s="59">
        <v>710</v>
      </c>
      <c r="H8" s="59">
        <v>701</v>
      </c>
      <c r="I8" s="59">
        <v>692</v>
      </c>
      <c r="J8" s="59">
        <v>674</v>
      </c>
      <c r="K8" s="59">
        <v>658</v>
      </c>
      <c r="L8" s="59">
        <v>647</v>
      </c>
      <c r="M8" s="59">
        <v>626</v>
      </c>
      <c r="N8" s="102"/>
      <c r="O8" s="102"/>
    </row>
    <row r="9" spans="2:15" ht="15" thickBot="1">
      <c r="B9" s="84" t="s">
        <v>292</v>
      </c>
      <c r="C9" s="1144">
        <v>116</v>
      </c>
      <c r="D9" s="1207">
        <v>114</v>
      </c>
      <c r="E9" s="984">
        <v>114</v>
      </c>
      <c r="F9" s="984">
        <v>113</v>
      </c>
      <c r="G9" s="59">
        <v>100</v>
      </c>
      <c r="H9" s="59">
        <v>65</v>
      </c>
      <c r="I9" s="59">
        <v>65</v>
      </c>
      <c r="J9" s="59">
        <v>63</v>
      </c>
      <c r="K9" s="59">
        <v>59</v>
      </c>
      <c r="L9" s="59">
        <v>72</v>
      </c>
      <c r="M9" s="59">
        <v>77</v>
      </c>
      <c r="N9" s="102"/>
      <c r="O9" s="102"/>
    </row>
    <row r="10" spans="2:15" ht="15" thickBot="1">
      <c r="B10" s="84" t="s">
        <v>73</v>
      </c>
      <c r="C10" s="1144">
        <v>679</v>
      </c>
      <c r="D10" s="1207">
        <v>685</v>
      </c>
      <c r="E10" s="59">
        <v>305</v>
      </c>
      <c r="F10" s="59">
        <v>313</v>
      </c>
      <c r="G10" s="59">
        <v>433</v>
      </c>
      <c r="H10" s="59">
        <v>415</v>
      </c>
      <c r="I10" s="59">
        <v>503</v>
      </c>
      <c r="J10" s="59">
        <v>517</v>
      </c>
      <c r="K10" s="59">
        <v>536</v>
      </c>
      <c r="L10" s="59">
        <v>519</v>
      </c>
      <c r="M10" s="59">
        <v>462</v>
      </c>
      <c r="N10" s="102"/>
      <c r="O10" s="102"/>
    </row>
    <row r="11" spans="2:15" ht="15" thickBot="1">
      <c r="B11" s="84" t="s">
        <v>358</v>
      </c>
      <c r="C11" s="1254">
        <v>432</v>
      </c>
      <c r="D11" s="1423">
        <v>430</v>
      </c>
      <c r="E11" s="59">
        <v>452</v>
      </c>
      <c r="F11" s="59">
        <v>459</v>
      </c>
      <c r="G11" s="59">
        <v>419</v>
      </c>
      <c r="H11" s="59">
        <v>428</v>
      </c>
      <c r="I11" s="59">
        <v>442</v>
      </c>
      <c r="J11" s="59">
        <v>422</v>
      </c>
      <c r="K11" s="59">
        <v>374</v>
      </c>
      <c r="L11" s="59">
        <v>354</v>
      </c>
      <c r="M11" s="59">
        <v>376</v>
      </c>
      <c r="N11" s="102"/>
      <c r="O11" s="102"/>
    </row>
    <row r="12" spans="2:15" ht="20.399999999999999">
      <c r="B12" s="97" t="s">
        <v>293</v>
      </c>
      <c r="C12" s="1250">
        <v>129</v>
      </c>
      <c r="D12" s="1422">
        <v>127</v>
      </c>
      <c r="E12" s="57">
        <v>146</v>
      </c>
      <c r="F12" s="57">
        <v>126</v>
      </c>
      <c r="G12" s="57">
        <v>118</v>
      </c>
      <c r="H12" s="57">
        <v>119</v>
      </c>
      <c r="I12" s="57">
        <v>160</v>
      </c>
      <c r="J12" s="57">
        <v>166</v>
      </c>
      <c r="K12" s="57">
        <v>183</v>
      </c>
      <c r="L12" s="57">
        <v>190</v>
      </c>
      <c r="M12" s="57">
        <v>198</v>
      </c>
      <c r="N12" s="102"/>
      <c r="O12" s="102"/>
    </row>
    <row r="13" spans="2:15">
      <c r="B13" s="85" t="s">
        <v>3</v>
      </c>
      <c r="C13" s="1244">
        <v>1674</v>
      </c>
      <c r="D13" s="1244">
        <v>1674</v>
      </c>
      <c r="E13" s="73">
        <v>1725</v>
      </c>
      <c r="F13" s="73">
        <v>1729</v>
      </c>
      <c r="G13" s="73">
        <v>1780</v>
      </c>
      <c r="H13" s="73">
        <v>1728</v>
      </c>
      <c r="I13" s="73">
        <v>1862</v>
      </c>
      <c r="J13" s="73">
        <v>1842</v>
      </c>
      <c r="K13" s="73">
        <v>1810</v>
      </c>
      <c r="L13" s="73">
        <v>1782</v>
      </c>
      <c r="M13" s="73">
        <v>1739</v>
      </c>
      <c r="N13" s="126"/>
      <c r="O13" s="126"/>
    </row>
    <row r="14" spans="2:15">
      <c r="B14" s="208" t="s">
        <v>1924</v>
      </c>
    </row>
    <row r="15" spans="2:15">
      <c r="B15" s="112"/>
    </row>
    <row r="16" spans="2:15" ht="15.6">
      <c r="B16" s="86" t="s">
        <v>70</v>
      </c>
    </row>
    <row r="17" spans="2:12" ht="15" customHeight="1">
      <c r="B17" s="81" t="s">
        <v>77</v>
      </c>
    </row>
    <row r="18" spans="2:12" ht="15" customHeight="1">
      <c r="B18" s="194"/>
      <c r="C18" s="115">
        <v>2024</v>
      </c>
      <c r="D18" s="115">
        <v>2023</v>
      </c>
      <c r="E18" s="115" t="s">
        <v>1830</v>
      </c>
      <c r="F18" s="115" t="s">
        <v>1679</v>
      </c>
      <c r="G18" s="115" t="s">
        <v>926</v>
      </c>
      <c r="H18" s="115" t="s">
        <v>1691</v>
      </c>
      <c r="I18" s="115" t="s">
        <v>1692</v>
      </c>
      <c r="J18" s="115">
        <v>2017</v>
      </c>
      <c r="K18" s="115">
        <v>2016</v>
      </c>
      <c r="L18" s="115">
        <v>2015</v>
      </c>
    </row>
    <row r="19" spans="2:12" ht="15" customHeight="1" thickBot="1">
      <c r="B19" s="84" t="s">
        <v>294</v>
      </c>
      <c r="C19" s="942">
        <v>29</v>
      </c>
      <c r="D19" s="61">
        <v>31</v>
      </c>
      <c r="E19" s="962">
        <v>32</v>
      </c>
      <c r="F19" s="962">
        <v>32.161975248402179</v>
      </c>
      <c r="G19" s="962">
        <v>32.49041388725599</v>
      </c>
      <c r="H19" s="962">
        <v>32.934694611156438</v>
      </c>
      <c r="I19" s="962">
        <v>33.470464254497131</v>
      </c>
      <c r="J19" s="984">
        <v>34</v>
      </c>
      <c r="K19" s="59">
        <v>35</v>
      </c>
      <c r="L19" s="59">
        <v>34</v>
      </c>
    </row>
    <row r="20" spans="2:12" ht="15" customHeight="1" thickBot="1">
      <c r="B20" s="84" t="s">
        <v>295</v>
      </c>
      <c r="C20" s="942">
        <v>652</v>
      </c>
      <c r="D20" s="61">
        <v>552</v>
      </c>
      <c r="E20" s="962">
        <v>560</v>
      </c>
      <c r="F20" s="962">
        <v>565.75843266695972</v>
      </c>
      <c r="G20" s="962">
        <v>571.53596741443869</v>
      </c>
      <c r="H20" s="962">
        <v>579.35126992856351</v>
      </c>
      <c r="I20" s="962">
        <v>588.7759458493008</v>
      </c>
      <c r="J20" s="984">
        <v>624</v>
      </c>
      <c r="K20" s="59">
        <v>611</v>
      </c>
      <c r="L20" s="59">
        <v>603</v>
      </c>
    </row>
    <row r="21" spans="2:12" ht="15" customHeight="1" thickBot="1">
      <c r="B21" s="84" t="s">
        <v>296</v>
      </c>
      <c r="C21" s="942">
        <v>150</v>
      </c>
      <c r="D21" s="61">
        <v>184</v>
      </c>
      <c r="E21" s="62">
        <v>187</v>
      </c>
      <c r="F21" s="62">
        <v>189.30572423676176</v>
      </c>
      <c r="G21" s="62">
        <v>191.23891751594778</v>
      </c>
      <c r="H21" s="62">
        <v>193.8539585248667</v>
      </c>
      <c r="I21" s="62">
        <v>197.00750427488151</v>
      </c>
      <c r="J21" s="59">
        <v>203</v>
      </c>
      <c r="K21" s="59">
        <v>204</v>
      </c>
      <c r="L21" s="59">
        <v>206</v>
      </c>
    </row>
    <row r="22" spans="2:12" ht="15" thickBot="1">
      <c r="B22" s="97" t="s">
        <v>297</v>
      </c>
      <c r="C22" s="1257">
        <v>99</v>
      </c>
      <c r="D22" s="1436">
        <v>170</v>
      </c>
      <c r="E22" s="62">
        <v>172</v>
      </c>
      <c r="F22" s="62">
        <v>173.60772049668881</v>
      </c>
      <c r="G22" s="62">
        <v>175.38060549439362</v>
      </c>
      <c r="H22" s="62">
        <v>177.77879662355343</v>
      </c>
      <c r="I22" s="62">
        <v>180.67083748153283</v>
      </c>
      <c r="J22" s="59">
        <v>192</v>
      </c>
      <c r="K22" s="57">
        <v>187</v>
      </c>
      <c r="L22" s="57">
        <v>182</v>
      </c>
    </row>
    <row r="23" spans="2:12" ht="20.399999999999999">
      <c r="B23" s="97" t="s">
        <v>298</v>
      </c>
      <c r="C23" s="115" t="s">
        <v>59</v>
      </c>
      <c r="D23" s="20">
        <v>319</v>
      </c>
      <c r="E23" s="103">
        <v>323</v>
      </c>
      <c r="F23" s="103">
        <v>326.89862713167503</v>
      </c>
      <c r="G23" s="103">
        <v>330.23692147799761</v>
      </c>
      <c r="H23" s="103">
        <v>334.75265030318343</v>
      </c>
      <c r="I23" s="103">
        <v>340.19828476792605</v>
      </c>
      <c r="J23" s="102">
        <v>345</v>
      </c>
      <c r="K23" s="57">
        <v>347</v>
      </c>
      <c r="L23" s="57">
        <v>355</v>
      </c>
    </row>
    <row r="24" spans="2:12" ht="19.2">
      <c r="B24" s="150" t="s">
        <v>1693</v>
      </c>
    </row>
    <row r="25" spans="2:12">
      <c r="B25" s="58" t="s">
        <v>2406</v>
      </c>
    </row>
    <row r="26" spans="2:12">
      <c r="B26" s="58"/>
    </row>
    <row r="27" spans="2:12">
      <c r="B27" s="58"/>
    </row>
    <row r="28" spans="2:12">
      <c r="B28" s="58"/>
    </row>
    <row r="29" spans="2:12">
      <c r="D29" t="s">
        <v>1688</v>
      </c>
    </row>
    <row r="31" spans="2:12">
      <c r="C31">
        <v>2023</v>
      </c>
      <c r="D31">
        <v>2022</v>
      </c>
      <c r="E31">
        <v>2021</v>
      </c>
      <c r="F31">
        <v>2020</v>
      </c>
      <c r="G31">
        <v>2019</v>
      </c>
      <c r="H31">
        <v>2018</v>
      </c>
      <c r="I31">
        <v>2017</v>
      </c>
      <c r="J31">
        <v>2016</v>
      </c>
      <c r="K31">
        <v>2015</v>
      </c>
      <c r="L31">
        <v>2014</v>
      </c>
    </row>
    <row r="32" spans="2:12">
      <c r="B32" t="s">
        <v>1689</v>
      </c>
      <c r="C32">
        <v>47719</v>
      </c>
      <c r="D32">
        <v>48344</v>
      </c>
      <c r="E32">
        <v>48864</v>
      </c>
      <c r="F32">
        <v>49363</v>
      </c>
      <c r="G32">
        <v>50038</v>
      </c>
      <c r="H32">
        <v>50852</v>
      </c>
      <c r="I32">
        <v>51620</v>
      </c>
      <c r="J32">
        <v>52263</v>
      </c>
      <c r="K32">
        <v>53253</v>
      </c>
      <c r="L32">
        <v>54057</v>
      </c>
    </row>
    <row r="33" spans="2:14">
      <c r="B33" t="s">
        <v>294</v>
      </c>
      <c r="C33" s="134">
        <f>C32*N33</f>
        <v>401640.62723933428</v>
      </c>
      <c r="D33" s="134">
        <f>D32*N33</f>
        <v>406901.11870027403</v>
      </c>
      <c r="E33" s="134">
        <v>32.161975248402179</v>
      </c>
      <c r="F33" s="134">
        <v>32.49041388725599</v>
      </c>
      <c r="G33" s="134">
        <v>32.934694611156438</v>
      </c>
      <c r="H33" s="134">
        <v>33.470464254497131</v>
      </c>
      <c r="I33" s="70">
        <f t="shared" ref="I33:K37" si="0">(100/I$32)*J19</f>
        <v>6.586594343277799E-2</v>
      </c>
      <c r="J33" s="70">
        <f t="shared" si="0"/>
        <v>6.6968983793505923E-2</v>
      </c>
      <c r="K33" s="70">
        <f t="shared" si="0"/>
        <v>6.3846168290988298E-2</v>
      </c>
      <c r="L33" s="70" t="e">
        <f>(100/L$32)*#REF!</f>
        <v>#REF!</v>
      </c>
      <c r="N33" s="70">
        <f>AVERAGE(H33:K33)</f>
        <v>8.4167863375036003</v>
      </c>
    </row>
    <row r="34" spans="2:14">
      <c r="B34" t="s">
        <v>295</v>
      </c>
      <c r="C34" s="134" t="e">
        <f>C32*N34</f>
        <v>#REF!</v>
      </c>
      <c r="D34" s="134" t="e">
        <f>D32*N34</f>
        <v>#REF!</v>
      </c>
      <c r="E34" s="134">
        <v>565.75843266695972</v>
      </c>
      <c r="F34" s="134">
        <v>571.53596741443869</v>
      </c>
      <c r="G34" s="134">
        <v>579.35126992856351</v>
      </c>
      <c r="H34" s="134">
        <v>588.7759458493008</v>
      </c>
      <c r="I34" s="70">
        <f t="shared" si="0"/>
        <v>1.2088337853545137</v>
      </c>
      <c r="J34" s="70">
        <f t="shared" si="0"/>
        <v>1.1690871170809176</v>
      </c>
      <c r="K34" s="70">
        <f t="shared" si="0"/>
        <v>1.1323305729254689</v>
      </c>
      <c r="L34" s="70" t="e">
        <f>(100/L$32)*#REF!</f>
        <v>#REF!</v>
      </c>
      <c r="N34" s="70" t="e">
        <f t="shared" ref="N34:N37" si="1">AVERAGE(I34:L34)</f>
        <v>#REF!</v>
      </c>
    </row>
    <row r="35" spans="2:14">
      <c r="B35" t="s">
        <v>296</v>
      </c>
      <c r="C35" s="134" t="e">
        <f>C32*N35</f>
        <v>#REF!</v>
      </c>
      <c r="D35" s="134" t="e">
        <f>D32*N35</f>
        <v>#REF!</v>
      </c>
      <c r="E35" s="134">
        <v>189.30572423676176</v>
      </c>
      <c r="F35" s="134">
        <v>191.23891751594778</v>
      </c>
      <c r="G35" s="134">
        <v>193.8539585248667</v>
      </c>
      <c r="H35" s="134">
        <v>197.00750427488151</v>
      </c>
      <c r="I35" s="70">
        <f t="shared" si="0"/>
        <v>0.39325842696629215</v>
      </c>
      <c r="J35" s="70">
        <f t="shared" si="0"/>
        <v>0.39033350553929164</v>
      </c>
      <c r="K35" s="70">
        <f t="shared" si="0"/>
        <v>0.38683266670422323</v>
      </c>
      <c r="L35" s="70" t="e">
        <f>(100/L$32)*#REF!</f>
        <v>#REF!</v>
      </c>
      <c r="N35" s="70" t="e">
        <f t="shared" si="1"/>
        <v>#REF!</v>
      </c>
    </row>
    <row r="36" spans="2:14">
      <c r="B36" t="s">
        <v>297</v>
      </c>
      <c r="C36" s="134" t="e">
        <f>C32*N36</f>
        <v>#REF!</v>
      </c>
      <c r="D36" s="134" t="e">
        <f>D32*N36</f>
        <v>#REF!</v>
      </c>
      <c r="E36" s="134">
        <v>173.60772049668881</v>
      </c>
      <c r="F36" s="134">
        <v>175.38060549439362</v>
      </c>
      <c r="G36" s="134">
        <v>177.77879662355343</v>
      </c>
      <c r="H36" s="134">
        <v>180.67083748153283</v>
      </c>
      <c r="I36" s="70">
        <f t="shared" si="0"/>
        <v>0.37194885703215808</v>
      </c>
      <c r="J36" s="70">
        <f t="shared" si="0"/>
        <v>0.35780571341101736</v>
      </c>
      <c r="K36" s="70">
        <f t="shared" si="0"/>
        <v>0.34176478320470211</v>
      </c>
      <c r="L36" s="70" t="e">
        <f>(100/L$32)*#REF!</f>
        <v>#REF!</v>
      </c>
      <c r="N36" s="70" t="e">
        <f t="shared" si="1"/>
        <v>#REF!</v>
      </c>
    </row>
    <row r="37" spans="2:14">
      <c r="B37" t="s">
        <v>298</v>
      </c>
      <c r="C37" s="134" t="e">
        <f>C32*N37</f>
        <v>#REF!</v>
      </c>
      <c r="D37" s="134" t="e">
        <f>D32*N37</f>
        <v>#REF!</v>
      </c>
      <c r="E37" s="134">
        <v>326.89862713167503</v>
      </c>
      <c r="F37" s="134">
        <v>330.23692147799761</v>
      </c>
      <c r="G37" s="134">
        <v>334.75265030318343</v>
      </c>
      <c r="H37" s="134">
        <v>340.19828476792605</v>
      </c>
      <c r="I37" s="70">
        <f t="shared" si="0"/>
        <v>0.66834560247965902</v>
      </c>
      <c r="J37" s="70">
        <f t="shared" si="0"/>
        <v>0.66394963932418727</v>
      </c>
      <c r="K37" s="70">
        <f t="shared" si="0"/>
        <v>0.6666291100970837</v>
      </c>
      <c r="L37" s="70" t="e">
        <f>(100/L$32)*#REF!</f>
        <v>#REF!</v>
      </c>
      <c r="N37" s="70" t="e">
        <f t="shared" si="1"/>
        <v>#REF!</v>
      </c>
    </row>
    <row r="38" spans="2:14">
      <c r="B38" t="s">
        <v>1690</v>
      </c>
      <c r="D38" s="70"/>
      <c r="E38" s="70">
        <f>SUM(E33:E37)</f>
        <v>1287.7324797804874</v>
      </c>
      <c r="F38" s="70">
        <f t="shared" ref="F38:L38" si="2">SUM(F33:F37)</f>
        <v>1300.8828257900336</v>
      </c>
      <c r="G38" s="70">
        <f t="shared" si="2"/>
        <v>1318.6713699913234</v>
      </c>
      <c r="H38" s="70">
        <f t="shared" si="2"/>
        <v>1340.1230366281382</v>
      </c>
      <c r="I38" s="70">
        <f t="shared" si="2"/>
        <v>2.7082526152654007</v>
      </c>
      <c r="J38" s="70">
        <f t="shared" si="2"/>
        <v>2.6481449591489197</v>
      </c>
      <c r="K38" s="70">
        <f t="shared" si="2"/>
        <v>2.5914033012224662</v>
      </c>
      <c r="L38" s="70" t="e">
        <f t="shared" si="2"/>
        <v>#REF!</v>
      </c>
    </row>
    <row r="41" spans="2:14">
      <c r="C41" s="134"/>
      <c r="D41" s="134"/>
      <c r="E41" s="134"/>
      <c r="F41" s="134"/>
      <c r="G41" s="134"/>
      <c r="H41" s="134"/>
    </row>
  </sheetData>
  <phoneticPr fontId="138" type="noConversion"/>
  <hyperlinks>
    <hyperlink ref="B14" r:id="rId1" display="Source: Bundesamt für Statistik, STAT-TAB, 07 LAnd- und Forstwirtschaft, Landwirtschaftliche Betriebe und landwirtschaftliche Nutzflächen " xr:uid="{00000000-0004-0000-2200-000000000000}"/>
    <hyperlink ref="B25" r:id="rId2" display="Source: Bundesamt für Statistik, STAT-TAB, 07-Land- und Forstwirtschaft, Landwirtschafliche Betriebe und Landwirtschaftliche Nutzfläche (LN) auf Klassifizierungsebene 3 nach Kanton" xr:uid="{00000000-0004-0000-2200-000001000000}"/>
  </hyperlinks>
  <pageMargins left="0.7" right="0.7" top="0.78740157499999996" bottom="0.78740157499999996" header="0.3" footer="0.3"/>
  <pageSetup paperSize="9" orientation="portrait" r:id="rId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00B050"/>
  </sheetPr>
  <dimension ref="B1:P30"/>
  <sheetViews>
    <sheetView showGridLines="0" zoomScaleNormal="100" workbookViewId="0">
      <selection activeCell="B11" sqref="B11"/>
    </sheetView>
  </sheetViews>
  <sheetFormatPr defaultColWidth="11.44140625" defaultRowHeight="14.4"/>
  <cols>
    <col min="1" max="1" width="7.6640625" customWidth="1"/>
    <col min="2" max="2" width="23.6640625" customWidth="1"/>
    <col min="3" max="4" width="11.44140625" customWidth="1"/>
  </cols>
  <sheetData>
    <row r="1" spans="2:16" ht="15" customHeight="1"/>
    <row r="2" spans="2:16" ht="15" customHeight="1"/>
    <row r="3" spans="2:16" ht="15" customHeight="1">
      <c r="B3" s="86" t="s">
        <v>299</v>
      </c>
      <c r="C3" s="86"/>
    </row>
    <row r="4" spans="2:16" ht="15" customHeight="1"/>
    <row r="5" spans="2:16" ht="15" customHeight="1"/>
    <row r="6" spans="2:16" ht="15" customHeight="1">
      <c r="B6" s="83" t="s">
        <v>134</v>
      </c>
      <c r="C6" s="142"/>
    </row>
    <row r="7" spans="2:16" ht="15" customHeight="1">
      <c r="B7" s="93" t="s">
        <v>300</v>
      </c>
      <c r="C7" s="142"/>
    </row>
    <row r="8" spans="2:16" ht="15" customHeight="1">
      <c r="B8" s="85"/>
      <c r="C8" s="85">
        <v>2022</v>
      </c>
      <c r="D8" s="115">
        <v>2021</v>
      </c>
      <c r="E8" s="115">
        <v>2020</v>
      </c>
      <c r="F8" s="115">
        <v>2019</v>
      </c>
      <c r="G8" s="115">
        <v>2018</v>
      </c>
      <c r="H8" s="115">
        <v>2017</v>
      </c>
      <c r="I8" s="115">
        <v>2016</v>
      </c>
      <c r="J8" s="115">
        <v>2015</v>
      </c>
      <c r="K8" s="115">
        <v>2014</v>
      </c>
      <c r="L8" s="115">
        <v>2013</v>
      </c>
    </row>
    <row r="9" spans="2:16" ht="15" customHeight="1" thickBot="1">
      <c r="B9" s="84" t="s">
        <v>423</v>
      </c>
      <c r="C9" s="1145" t="s">
        <v>59</v>
      </c>
      <c r="D9" s="46">
        <v>3039.36</v>
      </c>
      <c r="E9" s="46">
        <v>3308</v>
      </c>
      <c r="F9" s="46">
        <v>3443</v>
      </c>
      <c r="G9" s="46">
        <v>3461</v>
      </c>
      <c r="H9" s="46">
        <v>3413</v>
      </c>
      <c r="I9" s="46">
        <v>3482</v>
      </c>
      <c r="J9" s="46">
        <v>3570</v>
      </c>
      <c r="K9" s="46">
        <v>3537</v>
      </c>
      <c r="L9" s="46">
        <v>3472</v>
      </c>
    </row>
    <row r="10" spans="2:16" ht="15" customHeight="1" thickBot="1">
      <c r="B10" s="84" t="s">
        <v>301</v>
      </c>
      <c r="C10" s="1145">
        <v>35513</v>
      </c>
      <c r="D10" s="46">
        <v>33729</v>
      </c>
      <c r="E10" s="46">
        <v>38805</v>
      </c>
      <c r="F10" s="46">
        <v>48795</v>
      </c>
      <c r="G10" s="46">
        <v>48147</v>
      </c>
      <c r="H10" s="46">
        <v>46015</v>
      </c>
      <c r="I10" s="46">
        <v>47226</v>
      </c>
      <c r="J10" s="46">
        <v>50084</v>
      </c>
      <c r="K10" s="46">
        <v>48749</v>
      </c>
      <c r="L10" s="46">
        <v>47812</v>
      </c>
    </row>
    <row r="11" spans="2:16" ht="15" customHeight="1">
      <c r="B11" s="193" t="s">
        <v>1937</v>
      </c>
    </row>
    <row r="12" spans="2:16" ht="15" customHeight="1">
      <c r="B12" s="87"/>
    </row>
    <row r="13" spans="2:16" ht="15" customHeight="1">
      <c r="B13" s="83" t="s">
        <v>134</v>
      </c>
      <c r="G13" s="83" t="s">
        <v>134</v>
      </c>
      <c r="M13" s="173"/>
      <c r="N13" s="173"/>
    </row>
    <row r="14" spans="2:16" ht="15" customHeight="1">
      <c r="B14" s="93" t="s">
        <v>46</v>
      </c>
      <c r="G14" s="93" t="s">
        <v>2</v>
      </c>
      <c r="M14" s="173"/>
      <c r="N14" s="173"/>
      <c r="O14" s="173"/>
      <c r="P14" s="173"/>
    </row>
    <row r="15" spans="2:16" ht="15" customHeight="1">
      <c r="B15" s="115"/>
      <c r="C15" s="115" t="s">
        <v>379</v>
      </c>
      <c r="D15" s="115">
        <v>2008</v>
      </c>
      <c r="E15" s="115">
        <v>2003</v>
      </c>
      <c r="G15" s="115"/>
      <c r="H15" s="115">
        <v>2023</v>
      </c>
    </row>
    <row r="16" spans="2:16" ht="15" customHeight="1" thickBot="1">
      <c r="B16" s="84" t="s">
        <v>120</v>
      </c>
      <c r="C16" s="222">
        <v>5286</v>
      </c>
      <c r="D16" s="46">
        <v>3066</v>
      </c>
      <c r="E16" s="46">
        <v>2864</v>
      </c>
      <c r="G16" s="84" t="s">
        <v>120</v>
      </c>
      <c r="H16" s="222">
        <v>1926</v>
      </c>
    </row>
    <row r="17" spans="2:8" ht="15" customHeight="1" thickBot="1">
      <c r="B17" s="84" t="s">
        <v>302</v>
      </c>
      <c r="C17" s="222">
        <v>1910</v>
      </c>
      <c r="D17" s="46">
        <v>3263</v>
      </c>
      <c r="E17" s="46">
        <v>2516</v>
      </c>
      <c r="G17" s="84" t="s">
        <v>302</v>
      </c>
      <c r="H17" s="222">
        <v>5026</v>
      </c>
    </row>
    <row r="18" spans="2:8" ht="15" customHeight="1" thickBot="1">
      <c r="B18" s="84" t="s">
        <v>303</v>
      </c>
      <c r="C18" s="222">
        <v>526</v>
      </c>
      <c r="D18" s="46">
        <v>2143</v>
      </c>
      <c r="E18" s="46">
        <v>1595</v>
      </c>
      <c r="G18" s="84" t="s">
        <v>303</v>
      </c>
      <c r="H18" s="222">
        <v>669</v>
      </c>
    </row>
    <row r="19" spans="2:8" ht="15" customHeight="1" thickBot="1">
      <c r="B19" s="84" t="s">
        <v>215</v>
      </c>
      <c r="C19" s="222">
        <v>1645</v>
      </c>
      <c r="D19" s="46">
        <v>1172</v>
      </c>
      <c r="E19" s="46">
        <v>1244</v>
      </c>
      <c r="G19" s="84" t="s">
        <v>215</v>
      </c>
      <c r="H19" s="222">
        <v>2404</v>
      </c>
    </row>
    <row r="20" spans="2:8" ht="15" customHeight="1" thickBot="1">
      <c r="B20" s="84" t="s">
        <v>342</v>
      </c>
      <c r="C20" s="222">
        <v>1087</v>
      </c>
      <c r="D20" s="46">
        <v>1068</v>
      </c>
      <c r="E20" s="46">
        <v>1074</v>
      </c>
      <c r="G20" s="84" t="s">
        <v>342</v>
      </c>
      <c r="H20" s="222">
        <v>1840</v>
      </c>
    </row>
    <row r="21" spans="2:8" ht="15" customHeight="1" thickBot="1">
      <c r="B21" s="84" t="s">
        <v>113</v>
      </c>
      <c r="C21" s="222">
        <v>1002</v>
      </c>
      <c r="D21" s="46">
        <v>439</v>
      </c>
      <c r="E21" s="46">
        <v>826</v>
      </c>
      <c r="G21" s="84" t="s">
        <v>113</v>
      </c>
      <c r="H21" s="222">
        <v>774</v>
      </c>
    </row>
    <row r="22" spans="2:8" ht="15" customHeight="1" thickBot="1">
      <c r="B22" s="84" t="s">
        <v>115</v>
      </c>
      <c r="C22" s="222">
        <v>440</v>
      </c>
      <c r="D22" s="46">
        <v>2199</v>
      </c>
      <c r="E22" s="46">
        <v>504</v>
      </c>
      <c r="G22" s="84" t="s">
        <v>115</v>
      </c>
      <c r="H22" s="222">
        <v>466</v>
      </c>
    </row>
    <row r="23" spans="2:8" ht="15" customHeight="1" thickBot="1">
      <c r="B23" s="84" t="s">
        <v>343</v>
      </c>
      <c r="C23" s="222">
        <v>255</v>
      </c>
      <c r="D23" s="46">
        <v>356</v>
      </c>
      <c r="E23" s="46">
        <v>342</v>
      </c>
      <c r="G23" s="84" t="s">
        <v>343</v>
      </c>
      <c r="H23" s="222">
        <v>350</v>
      </c>
    </row>
    <row r="24" spans="2:8" ht="15" customHeight="1" thickBot="1">
      <c r="B24" s="84" t="s">
        <v>188</v>
      </c>
      <c r="C24" s="222">
        <v>173</v>
      </c>
      <c r="D24" s="46" t="s">
        <v>230</v>
      </c>
      <c r="E24" s="46">
        <v>164</v>
      </c>
      <c r="G24" s="84" t="s">
        <v>188</v>
      </c>
      <c r="H24" s="222" t="s">
        <v>59</v>
      </c>
    </row>
    <row r="25" spans="2:8" ht="15" customHeight="1" thickBot="1">
      <c r="B25" s="84" t="s">
        <v>304</v>
      </c>
      <c r="C25" s="222">
        <v>1719</v>
      </c>
      <c r="D25" s="46">
        <v>1275</v>
      </c>
      <c r="E25" s="46">
        <v>753</v>
      </c>
      <c r="G25" s="84" t="s">
        <v>304</v>
      </c>
      <c r="H25" s="222">
        <v>852</v>
      </c>
    </row>
    <row r="26" spans="2:8" ht="15" customHeight="1" thickBot="1">
      <c r="B26" s="84" t="s">
        <v>305</v>
      </c>
      <c r="C26" s="222">
        <v>451</v>
      </c>
      <c r="D26" s="46" t="s">
        <v>59</v>
      </c>
      <c r="E26" s="46" t="s">
        <v>59</v>
      </c>
      <c r="G26" s="84" t="s">
        <v>305</v>
      </c>
      <c r="H26" s="222">
        <v>680</v>
      </c>
    </row>
    <row r="27" spans="2:8" ht="15" customHeight="1" thickBot="1">
      <c r="B27" s="84" t="s">
        <v>306</v>
      </c>
      <c r="C27" s="222">
        <v>202</v>
      </c>
      <c r="D27" s="46" t="s">
        <v>59</v>
      </c>
      <c r="E27" s="46" t="s">
        <v>59</v>
      </c>
      <c r="G27" s="84" t="s">
        <v>306</v>
      </c>
      <c r="H27" s="222">
        <v>14050</v>
      </c>
    </row>
    <row r="28" spans="2:8" ht="15" customHeight="1" thickBot="1">
      <c r="B28" s="84" t="s">
        <v>70</v>
      </c>
      <c r="C28" s="222">
        <v>1538</v>
      </c>
      <c r="D28" s="46" t="s">
        <v>230</v>
      </c>
      <c r="E28" s="46">
        <v>1559</v>
      </c>
      <c r="G28" s="84" t="s">
        <v>70</v>
      </c>
      <c r="H28" s="222">
        <v>1325</v>
      </c>
    </row>
    <row r="29" spans="2:8">
      <c r="B29" s="92" t="s">
        <v>398</v>
      </c>
      <c r="G29" s="92" t="s">
        <v>2409</v>
      </c>
    </row>
    <row r="30" spans="2:8">
      <c r="B30" s="92" t="s">
        <v>307</v>
      </c>
    </row>
  </sheetData>
  <hyperlinks>
    <hyperlink ref="B11" r:id="rId1" display="Source: Office of Agricultural Economics, 2020" xr:uid="{00000000-0004-0000-2300-000000000000}"/>
  </hyperlinks>
  <pageMargins left="0.7" right="0.7" top="0.78740157499999996" bottom="0.78740157499999996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E50F1-46A7-4BDF-AA68-FFE2A08D22BD}">
  <sheetPr>
    <tabColor theme="9"/>
  </sheetPr>
  <dimension ref="B2:B50"/>
  <sheetViews>
    <sheetView workbookViewId="0">
      <selection activeCell="M15" sqref="M15"/>
    </sheetView>
  </sheetViews>
  <sheetFormatPr defaultColWidth="11.5546875" defaultRowHeight="14.4"/>
  <sheetData>
    <row r="2" spans="2:2">
      <c r="B2" t="s">
        <v>2569</v>
      </c>
    </row>
    <row r="26" spans="2:2">
      <c r="B26" t="s">
        <v>2570</v>
      </c>
    </row>
    <row r="50" spans="2:2">
      <c r="B50" t="s">
        <v>2571</v>
      </c>
    </row>
  </sheetData>
  <pageMargins left="0.7" right="0.7" top="0.78740157499999996" bottom="0.78740157499999996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00B050"/>
  </sheetPr>
  <dimension ref="B3:Q226"/>
  <sheetViews>
    <sheetView topLeftCell="A89" zoomScale="70" zoomScaleNormal="70" workbookViewId="0">
      <selection activeCell="P15" sqref="P15"/>
    </sheetView>
  </sheetViews>
  <sheetFormatPr defaultColWidth="10.88671875" defaultRowHeight="14.4"/>
  <cols>
    <col min="2" max="2" width="24.5546875" customWidth="1"/>
    <col min="3" max="3" width="11" customWidth="1"/>
    <col min="4" max="4" width="13.5546875" customWidth="1"/>
    <col min="5" max="14" width="11" customWidth="1"/>
  </cols>
  <sheetData>
    <row r="3" spans="2:4" ht="15.6">
      <c r="B3" s="83" t="s">
        <v>1401</v>
      </c>
    </row>
    <row r="4" spans="2:4" ht="15.6">
      <c r="B4" s="83"/>
    </row>
    <row r="5" spans="2:4" ht="15.6">
      <c r="B5" s="83"/>
    </row>
    <row r="6" spans="2:4" ht="15.6">
      <c r="B6" s="83" t="s">
        <v>2417</v>
      </c>
    </row>
    <row r="7" spans="2:4" ht="15.6">
      <c r="B7" s="83"/>
    </row>
    <row r="8" spans="2:4" ht="15" customHeight="1">
      <c r="B8" s="13" t="s">
        <v>530</v>
      </c>
      <c r="C8" s="239">
        <v>85.5</v>
      </c>
      <c r="D8" s="240" t="s">
        <v>531</v>
      </c>
    </row>
    <row r="9" spans="2:4">
      <c r="B9" s="13" t="s">
        <v>532</v>
      </c>
      <c r="C9" s="247">
        <v>785400</v>
      </c>
      <c r="D9" s="240" t="s">
        <v>533</v>
      </c>
    </row>
    <row r="10" spans="2:4">
      <c r="B10" s="13" t="s">
        <v>534</v>
      </c>
      <c r="C10" s="247">
        <v>110</v>
      </c>
      <c r="D10" s="240" t="s">
        <v>535</v>
      </c>
    </row>
    <row r="11" spans="2:4" ht="15" customHeight="1">
      <c r="B11" s="245"/>
      <c r="C11" s="246"/>
      <c r="D11" s="240"/>
    </row>
    <row r="12" spans="2:4" ht="15.6">
      <c r="B12" s="13" t="s">
        <v>536</v>
      </c>
      <c r="C12" s="247">
        <v>1124</v>
      </c>
      <c r="D12" s="240" t="s">
        <v>537</v>
      </c>
    </row>
    <row r="13" spans="2:4" ht="15" customHeight="1">
      <c r="B13" s="245" t="s">
        <v>538</v>
      </c>
      <c r="C13" s="246">
        <v>13150</v>
      </c>
      <c r="D13" s="240" t="s">
        <v>539</v>
      </c>
    </row>
    <row r="14" spans="2:4">
      <c r="B14" s="13" t="s">
        <v>540</v>
      </c>
      <c r="C14" s="247">
        <v>3712</v>
      </c>
      <c r="D14" s="240" t="s">
        <v>537</v>
      </c>
    </row>
    <row r="15" spans="2:4">
      <c r="B15" s="245" t="s">
        <v>594</v>
      </c>
      <c r="C15" s="246"/>
      <c r="D15" s="240"/>
    </row>
    <row r="16" spans="2:4">
      <c r="B16" s="245" t="s">
        <v>538</v>
      </c>
      <c r="C16" s="246">
        <v>43410</v>
      </c>
      <c r="D16" s="240" t="s">
        <v>542</v>
      </c>
    </row>
    <row r="17" spans="2:15" ht="15" customHeight="1">
      <c r="B17" s="245"/>
      <c r="C17" s="246"/>
      <c r="D17" s="240"/>
    </row>
    <row r="18" spans="2:15">
      <c r="B18" s="13" t="s">
        <v>543</v>
      </c>
      <c r="C18" s="239">
        <v>3.2</v>
      </c>
      <c r="D18" s="240" t="s">
        <v>544</v>
      </c>
    </row>
    <row r="19" spans="2:15" ht="26.4">
      <c r="B19" s="13" t="s">
        <v>545</v>
      </c>
      <c r="C19" s="239">
        <v>3</v>
      </c>
      <c r="D19" s="240" t="s">
        <v>546</v>
      </c>
    </row>
    <row r="20" spans="2:15">
      <c r="B20" s="245"/>
      <c r="C20" s="246"/>
      <c r="D20" s="246"/>
      <c r="E20" s="240"/>
    </row>
    <row r="21" spans="2:15">
      <c r="B21" s="250" t="s">
        <v>595</v>
      </c>
      <c r="C21" s="251"/>
      <c r="D21" s="251"/>
      <c r="E21" s="251"/>
    </row>
    <row r="22" spans="2:15">
      <c r="B22" s="252" t="s">
        <v>2416</v>
      </c>
      <c r="C22" s="253"/>
      <c r="D22" s="253"/>
      <c r="E22" s="82"/>
    </row>
    <row r="25" spans="2:15" ht="15.6">
      <c r="B25" s="83" t="s">
        <v>56</v>
      </c>
    </row>
    <row r="26" spans="2:15">
      <c r="B26" s="93" t="s">
        <v>1402</v>
      </c>
    </row>
    <row r="27" spans="2:15">
      <c r="B27" s="810"/>
      <c r="C27" s="811">
        <v>2023</v>
      </c>
      <c r="D27" s="811">
        <v>2022</v>
      </c>
      <c r="E27" s="811">
        <v>2021</v>
      </c>
      <c r="F27" s="811">
        <v>2020</v>
      </c>
      <c r="G27" s="811">
        <v>2019</v>
      </c>
      <c r="H27" s="811">
        <v>2018</v>
      </c>
      <c r="I27" s="811">
        <v>2017</v>
      </c>
      <c r="J27" s="811">
        <v>2016</v>
      </c>
      <c r="K27" s="811">
        <v>2015</v>
      </c>
      <c r="L27" s="811">
        <v>2014</v>
      </c>
      <c r="M27" s="811">
        <v>2013</v>
      </c>
      <c r="N27" s="67"/>
      <c r="O27" s="67"/>
    </row>
    <row r="28" spans="2:15">
      <c r="B28" s="812" t="s">
        <v>53</v>
      </c>
      <c r="C28" s="1289">
        <v>1471</v>
      </c>
      <c r="D28" s="813">
        <v>1467</v>
      </c>
      <c r="E28" s="813">
        <v>1265</v>
      </c>
      <c r="F28" s="813">
        <v>1219</v>
      </c>
      <c r="G28" s="813">
        <v>1237</v>
      </c>
      <c r="H28" s="813">
        <v>1192</v>
      </c>
      <c r="I28" s="813">
        <v>1172</v>
      </c>
      <c r="J28" s="813">
        <v>1201</v>
      </c>
      <c r="K28" s="813">
        <v>1183</v>
      </c>
      <c r="L28" s="813">
        <v>1137</v>
      </c>
      <c r="M28" s="813">
        <v>1082</v>
      </c>
      <c r="N28" s="39"/>
      <c r="O28" s="1258"/>
    </row>
    <row r="29" spans="2:15">
      <c r="B29" s="814" t="s">
        <v>1403</v>
      </c>
      <c r="C29" s="1289">
        <v>207</v>
      </c>
      <c r="D29" s="813">
        <v>184</v>
      </c>
      <c r="E29" s="813">
        <v>179</v>
      </c>
      <c r="F29" s="815">
        <v>171</v>
      </c>
      <c r="G29" s="815">
        <v>199</v>
      </c>
      <c r="H29" s="815">
        <v>208</v>
      </c>
      <c r="I29" s="815">
        <v>165</v>
      </c>
      <c r="J29" s="815">
        <v>131</v>
      </c>
      <c r="K29" s="815">
        <v>147</v>
      </c>
      <c r="L29" s="815">
        <v>108</v>
      </c>
      <c r="M29" s="815">
        <v>110</v>
      </c>
      <c r="N29" s="39"/>
      <c r="O29" s="1258"/>
    </row>
    <row r="30" spans="2:15">
      <c r="B30" s="814" t="s">
        <v>1404</v>
      </c>
      <c r="C30" s="1289">
        <v>4103</v>
      </c>
      <c r="D30" s="813">
        <v>3986</v>
      </c>
      <c r="E30" s="813">
        <v>4034</v>
      </c>
      <c r="F30" s="815">
        <v>3974</v>
      </c>
      <c r="G30" s="815">
        <v>3770</v>
      </c>
      <c r="H30" s="815">
        <v>3731</v>
      </c>
      <c r="I30" s="815">
        <v>3626</v>
      </c>
      <c r="J30" s="815">
        <v>3487</v>
      </c>
      <c r="K30" s="815">
        <v>3229</v>
      </c>
      <c r="L30" s="815">
        <v>3600</v>
      </c>
      <c r="M30" s="815">
        <v>3242</v>
      </c>
      <c r="N30" s="39"/>
      <c r="O30" s="1258"/>
    </row>
    <row r="31" spans="2:15">
      <c r="B31" s="816" t="s">
        <v>1405</v>
      </c>
      <c r="C31" s="1290">
        <v>35</v>
      </c>
      <c r="D31" s="817">
        <v>51</v>
      </c>
      <c r="E31" s="817">
        <v>51</v>
      </c>
      <c r="F31" s="817">
        <v>49</v>
      </c>
      <c r="G31" s="817">
        <v>41</v>
      </c>
      <c r="H31" s="817">
        <v>49</v>
      </c>
      <c r="I31" s="817">
        <v>43</v>
      </c>
      <c r="J31" s="817">
        <v>60</v>
      </c>
      <c r="K31" s="817">
        <v>61</v>
      </c>
      <c r="L31" s="817">
        <v>57</v>
      </c>
      <c r="M31" s="817">
        <v>55</v>
      </c>
      <c r="N31" s="39"/>
      <c r="O31" s="1258"/>
    </row>
    <row r="32" spans="2:15">
      <c r="B32" s="127" t="s">
        <v>52</v>
      </c>
      <c r="C32" s="73">
        <f>C31+C30+C29+C28</f>
        <v>5816</v>
      </c>
      <c r="D32" s="73">
        <f>D31+D30+D29+D28</f>
        <v>5688</v>
      </c>
      <c r="E32" s="73">
        <v>5529</v>
      </c>
      <c r="F32" s="73">
        <v>5413</v>
      </c>
      <c r="G32" s="73">
        <v>5247</v>
      </c>
      <c r="H32" s="73">
        <v>5180</v>
      </c>
      <c r="I32" s="73">
        <v>5009</v>
      </c>
      <c r="J32" s="73">
        <v>4880</v>
      </c>
      <c r="K32" s="73">
        <v>4620</v>
      </c>
      <c r="L32" s="73">
        <v>4902</v>
      </c>
      <c r="M32" s="73">
        <v>4789.5419999999995</v>
      </c>
      <c r="N32" s="126"/>
      <c r="O32" s="126"/>
    </row>
    <row r="33" spans="2:15">
      <c r="B33" s="41" t="s">
        <v>1948</v>
      </c>
    </row>
    <row r="34" spans="2:15">
      <c r="C34" s="23"/>
      <c r="D34" s="23"/>
    </row>
    <row r="35" spans="2:15" ht="15.6">
      <c r="B35" s="83" t="s">
        <v>56</v>
      </c>
    </row>
    <row r="36" spans="2:15">
      <c r="B36" s="93" t="s">
        <v>1406</v>
      </c>
    </row>
    <row r="37" spans="2:15">
      <c r="B37" s="85"/>
      <c r="C37" s="1557" t="s">
        <v>1383</v>
      </c>
      <c r="D37" s="1557"/>
      <c r="E37" s="1557"/>
      <c r="F37" s="1557"/>
      <c r="G37" s="1557"/>
      <c r="H37" s="1557"/>
      <c r="I37" s="1557"/>
      <c r="J37" s="1557"/>
      <c r="K37" s="1557"/>
      <c r="L37" s="1557"/>
      <c r="M37" s="1557"/>
    </row>
    <row r="38" spans="2:15">
      <c r="B38" s="85"/>
      <c r="C38" s="85">
        <v>2024</v>
      </c>
      <c r="D38" s="85">
        <v>2023</v>
      </c>
      <c r="E38" s="115">
        <v>2022</v>
      </c>
      <c r="F38" s="115">
        <v>2021</v>
      </c>
      <c r="G38" s="115">
        <v>2020</v>
      </c>
      <c r="H38" s="115">
        <v>2019</v>
      </c>
      <c r="I38" s="115">
        <v>2018</v>
      </c>
      <c r="J38" s="115">
        <v>2017</v>
      </c>
      <c r="K38" s="115">
        <v>2016</v>
      </c>
      <c r="L38" s="115">
        <v>2015</v>
      </c>
      <c r="M38" s="115">
        <v>2014</v>
      </c>
      <c r="N38" s="94"/>
      <c r="O38" s="94"/>
    </row>
    <row r="39" spans="2:15">
      <c r="B39" s="812" t="s">
        <v>134</v>
      </c>
      <c r="C39" s="1291">
        <v>1413</v>
      </c>
      <c r="D39" s="1437">
        <v>1414</v>
      </c>
      <c r="E39" s="813">
        <v>1404</v>
      </c>
      <c r="F39" s="813">
        <v>1065</v>
      </c>
      <c r="G39" s="813">
        <v>1012</v>
      </c>
      <c r="H39" s="813">
        <v>1092</v>
      </c>
      <c r="I39" s="813">
        <v>1056.0999999999999</v>
      </c>
      <c r="J39" s="813">
        <v>1050.5999999999999</v>
      </c>
      <c r="K39" s="813">
        <v>1041.2</v>
      </c>
      <c r="L39" s="813">
        <v>1036.0999999999999</v>
      </c>
      <c r="M39" s="813">
        <v>1025.5</v>
      </c>
      <c r="N39" s="39"/>
      <c r="O39" s="39"/>
    </row>
    <row r="40" spans="2:15">
      <c r="B40" s="814" t="s">
        <v>1403</v>
      </c>
      <c r="C40" s="1291">
        <v>158</v>
      </c>
      <c r="D40" s="1437">
        <v>157</v>
      </c>
      <c r="E40" s="813">
        <v>45</v>
      </c>
      <c r="F40" s="813">
        <v>54</v>
      </c>
      <c r="G40" s="815">
        <v>48</v>
      </c>
      <c r="H40" s="815">
        <v>52</v>
      </c>
      <c r="I40" s="815">
        <v>60</v>
      </c>
      <c r="J40" s="815">
        <v>56</v>
      </c>
      <c r="K40" s="815">
        <v>38.200000000000003</v>
      </c>
      <c r="L40" s="815">
        <v>40.799999999999997</v>
      </c>
      <c r="M40" s="815">
        <v>41.4</v>
      </c>
      <c r="N40" s="39"/>
      <c r="O40" s="39"/>
    </row>
    <row r="41" spans="2:15">
      <c r="B41" s="814" t="s">
        <v>1404</v>
      </c>
      <c r="C41" s="1291">
        <v>441</v>
      </c>
      <c r="D41" s="1437">
        <v>525</v>
      </c>
      <c r="E41" s="813">
        <v>538</v>
      </c>
      <c r="F41" s="813">
        <v>519</v>
      </c>
      <c r="G41" s="815">
        <v>529</v>
      </c>
      <c r="H41" s="815">
        <v>511</v>
      </c>
      <c r="I41" s="815">
        <v>507.2</v>
      </c>
      <c r="J41" s="815">
        <v>490.6</v>
      </c>
      <c r="K41" s="815">
        <v>409.2</v>
      </c>
      <c r="L41" s="815">
        <v>451.1</v>
      </c>
      <c r="M41" s="815">
        <v>456</v>
      </c>
      <c r="N41" s="39"/>
      <c r="O41" s="39"/>
    </row>
    <row r="42" spans="2:15">
      <c r="B42" s="816" t="s">
        <v>1405</v>
      </c>
      <c r="C42" s="1292">
        <v>21</v>
      </c>
      <c r="D42" s="1438">
        <v>67</v>
      </c>
      <c r="E42" s="817">
        <v>73</v>
      </c>
      <c r="F42" s="817">
        <v>72</v>
      </c>
      <c r="G42" s="817">
        <v>71</v>
      </c>
      <c r="H42" s="817">
        <v>63</v>
      </c>
      <c r="I42" s="817">
        <v>88.7</v>
      </c>
      <c r="J42" s="817">
        <v>21.8</v>
      </c>
      <c r="K42" s="817">
        <v>25.3</v>
      </c>
      <c r="L42" s="817">
        <v>27.2</v>
      </c>
      <c r="M42" s="817">
        <v>30.1</v>
      </c>
      <c r="N42" s="39"/>
      <c r="O42" s="39"/>
    </row>
    <row r="43" spans="2:15">
      <c r="B43" s="127" t="s">
        <v>52</v>
      </c>
      <c r="C43" s="73">
        <v>2032</v>
      </c>
      <c r="D43" s="73">
        <v>2163</v>
      </c>
      <c r="E43" s="73">
        <v>2060</v>
      </c>
      <c r="F43" s="73">
        <v>1710</v>
      </c>
      <c r="G43" s="73">
        <v>1661</v>
      </c>
      <c r="H43" s="73">
        <v>1718</v>
      </c>
      <c r="I43" s="73">
        <v>1712</v>
      </c>
      <c r="J43" s="73">
        <v>1619</v>
      </c>
      <c r="K43" s="73">
        <v>1513.9</v>
      </c>
      <c r="L43" s="73">
        <v>1555.3</v>
      </c>
      <c r="M43" s="73">
        <v>1553</v>
      </c>
      <c r="N43" s="126"/>
      <c r="O43" s="126"/>
    </row>
    <row r="44" spans="2:15">
      <c r="B44" s="41" t="s">
        <v>2025</v>
      </c>
    </row>
    <row r="47" spans="2:15" ht="15.6">
      <c r="B47" s="83" t="s">
        <v>53</v>
      </c>
      <c r="C47" s="93"/>
      <c r="D47" s="93"/>
      <c r="E47" s="93"/>
      <c r="F47" s="93"/>
      <c r="G47" s="93"/>
      <c r="H47" s="93"/>
      <c r="I47" s="93"/>
      <c r="J47" s="93"/>
      <c r="K47" s="93"/>
    </row>
    <row r="48" spans="2:15">
      <c r="B48" s="93" t="s">
        <v>1407</v>
      </c>
      <c r="C48" s="93"/>
      <c r="D48" s="93"/>
      <c r="E48" s="93"/>
      <c r="F48" s="93"/>
      <c r="G48" s="93"/>
      <c r="H48" s="93"/>
      <c r="I48" s="93"/>
      <c r="J48" s="93"/>
      <c r="K48" s="93"/>
    </row>
    <row r="49" spans="2:14">
      <c r="B49" s="85"/>
      <c r="C49" s="1557" t="s">
        <v>1408</v>
      </c>
      <c r="D49" s="1557"/>
      <c r="E49" s="1557"/>
      <c r="F49" s="1557"/>
      <c r="G49" s="1557"/>
      <c r="H49" s="1557"/>
      <c r="I49" s="1557"/>
      <c r="J49" s="1557"/>
      <c r="K49" s="1557"/>
      <c r="L49" s="1557"/>
      <c r="M49" s="1557"/>
    </row>
    <row r="50" spans="2:14">
      <c r="B50" s="85"/>
      <c r="C50" s="85">
        <v>2023</v>
      </c>
      <c r="D50" s="115">
        <v>2022</v>
      </c>
      <c r="E50" s="115">
        <v>2021</v>
      </c>
      <c r="F50" s="115">
        <v>2020</v>
      </c>
      <c r="G50" s="115">
        <v>2019</v>
      </c>
      <c r="H50" s="115">
        <v>2018</v>
      </c>
      <c r="I50" s="115">
        <v>2017</v>
      </c>
      <c r="J50" s="115">
        <v>2016</v>
      </c>
      <c r="K50" s="115">
        <v>2015</v>
      </c>
      <c r="L50" s="115">
        <v>2014</v>
      </c>
      <c r="M50" s="115">
        <v>2013</v>
      </c>
      <c r="N50" s="94"/>
    </row>
    <row r="51" spans="2:14">
      <c r="B51" s="812" t="s">
        <v>117</v>
      </c>
      <c r="C51" s="1293">
        <v>602.08669999999995</v>
      </c>
      <c r="D51" s="813">
        <v>642</v>
      </c>
      <c r="E51" s="813">
        <v>489.9434</v>
      </c>
      <c r="F51" s="813">
        <v>434.94049999999999</v>
      </c>
      <c r="G51" s="813">
        <v>511.8254</v>
      </c>
      <c r="H51" s="813">
        <v>494.05540000000002</v>
      </c>
      <c r="I51" s="813">
        <v>487.43540000000002</v>
      </c>
      <c r="J51" s="813">
        <v>482</v>
      </c>
      <c r="K51" s="813">
        <v>481</v>
      </c>
      <c r="L51" s="813">
        <v>495</v>
      </c>
      <c r="M51" s="813">
        <v>489</v>
      </c>
      <c r="N51" s="39"/>
    </row>
    <row r="52" spans="2:14">
      <c r="B52" s="814" t="s">
        <v>1409</v>
      </c>
      <c r="C52" s="1293">
        <v>11.07</v>
      </c>
      <c r="D52" s="813">
        <v>21</v>
      </c>
      <c r="E52" s="813">
        <v>18.156400000000001</v>
      </c>
      <c r="F52" s="815">
        <v>17.316400000000002</v>
      </c>
      <c r="G52" s="815">
        <v>24.245000000000001</v>
      </c>
      <c r="H52" s="815">
        <v>24.385000000000002</v>
      </c>
      <c r="I52" s="815">
        <v>26.25</v>
      </c>
      <c r="J52" s="815">
        <v>59</v>
      </c>
      <c r="K52" s="815">
        <v>58</v>
      </c>
      <c r="L52" s="815">
        <v>41</v>
      </c>
      <c r="M52" s="815">
        <v>33</v>
      </c>
      <c r="N52" s="39"/>
    </row>
    <row r="53" spans="2:14">
      <c r="B53" s="814" t="s">
        <v>1410</v>
      </c>
      <c r="C53" s="1293">
        <v>117.3135</v>
      </c>
      <c r="D53" s="813">
        <v>94</v>
      </c>
      <c r="E53" s="813">
        <v>116.9457</v>
      </c>
      <c r="F53" s="815">
        <v>112.9534</v>
      </c>
      <c r="G53" s="815">
        <v>120.2162</v>
      </c>
      <c r="H53" s="815">
        <v>118.3912</v>
      </c>
      <c r="I53" s="815">
        <v>113.49120000000001</v>
      </c>
      <c r="J53" s="815">
        <v>114</v>
      </c>
      <c r="K53" s="815">
        <v>115</v>
      </c>
      <c r="L53" s="815">
        <v>115</v>
      </c>
      <c r="M53" s="815">
        <v>113</v>
      </c>
      <c r="N53" s="39"/>
    </row>
    <row r="54" spans="2:14">
      <c r="B54" s="814" t="s">
        <v>1411</v>
      </c>
      <c r="C54" s="1293">
        <v>48.522199999999998</v>
      </c>
      <c r="D54" s="813">
        <v>44</v>
      </c>
      <c r="E54" s="813">
        <v>24.504000000000001</v>
      </c>
      <c r="F54" s="815">
        <v>25.408999999999999</v>
      </c>
      <c r="G54" s="815">
        <v>24.829000000000001</v>
      </c>
      <c r="H54" s="815">
        <v>25.309000000000001</v>
      </c>
      <c r="I54" s="815">
        <v>25.428999999999998</v>
      </c>
      <c r="J54" s="815">
        <v>25</v>
      </c>
      <c r="K54" s="815">
        <v>24</v>
      </c>
      <c r="L54" s="815">
        <v>25</v>
      </c>
      <c r="M54" s="815">
        <v>26</v>
      </c>
      <c r="N54" s="39"/>
    </row>
    <row r="55" spans="2:14">
      <c r="B55" s="814" t="s">
        <v>715</v>
      </c>
      <c r="C55" s="1293">
        <v>115.1113</v>
      </c>
      <c r="D55" s="813">
        <v>127</v>
      </c>
      <c r="E55" s="813">
        <v>113.3415</v>
      </c>
      <c r="F55" s="815">
        <v>111.91549999999999</v>
      </c>
      <c r="G55" s="815">
        <v>75.451999999999998</v>
      </c>
      <c r="H55" s="815">
        <v>75.546499999999995</v>
      </c>
      <c r="I55" s="815">
        <v>62.796500000000002</v>
      </c>
      <c r="J55" s="815">
        <v>64</v>
      </c>
      <c r="K55" s="815">
        <v>58</v>
      </c>
      <c r="L55" s="815">
        <v>58</v>
      </c>
      <c r="M55" s="815">
        <v>57</v>
      </c>
      <c r="N55" s="39"/>
    </row>
    <row r="56" spans="2:14">
      <c r="B56" s="814" t="s">
        <v>1412</v>
      </c>
      <c r="C56" s="1293">
        <v>0.64</v>
      </c>
      <c r="D56" s="813">
        <v>1</v>
      </c>
      <c r="E56" s="813">
        <v>1.0900000000000001</v>
      </c>
      <c r="F56" s="815">
        <v>1.04</v>
      </c>
      <c r="G56" s="815">
        <v>1.04</v>
      </c>
      <c r="H56" s="815">
        <v>1.04</v>
      </c>
      <c r="I56" s="815">
        <v>1.04</v>
      </c>
      <c r="J56" s="815">
        <v>1</v>
      </c>
      <c r="K56" s="815">
        <v>1</v>
      </c>
      <c r="L56" s="815">
        <v>1</v>
      </c>
      <c r="M56" s="815">
        <v>8</v>
      </c>
      <c r="N56" s="39"/>
    </row>
    <row r="57" spans="2:14">
      <c r="B57" s="814" t="s">
        <v>273</v>
      </c>
      <c r="C57" s="1293">
        <v>90.082899999999995</v>
      </c>
      <c r="D57" s="813">
        <v>63</v>
      </c>
      <c r="E57" s="813">
        <v>31.69</v>
      </c>
      <c r="F57" s="815">
        <v>42.14</v>
      </c>
      <c r="G57" s="815">
        <v>45.74</v>
      </c>
      <c r="H57" s="815">
        <v>41.44</v>
      </c>
      <c r="I57" s="815">
        <v>41.56</v>
      </c>
      <c r="J57" s="815">
        <v>42</v>
      </c>
      <c r="K57" s="815">
        <v>43</v>
      </c>
      <c r="L57" s="815">
        <v>43</v>
      </c>
      <c r="M57" s="815">
        <v>33</v>
      </c>
      <c r="N57" s="39"/>
    </row>
    <row r="58" spans="2:14">
      <c r="B58" s="814" t="s">
        <v>1413</v>
      </c>
      <c r="C58" s="1293">
        <v>10.7662</v>
      </c>
      <c r="D58" s="813">
        <v>11</v>
      </c>
      <c r="E58" s="813">
        <v>9.4055999999999997</v>
      </c>
      <c r="F58" s="815">
        <v>9.8498999999999999</v>
      </c>
      <c r="G58" s="815">
        <v>15.498900000000001</v>
      </c>
      <c r="H58" s="815">
        <v>15.1989</v>
      </c>
      <c r="I58" s="815">
        <v>15.5489</v>
      </c>
      <c r="J58" s="815">
        <v>16</v>
      </c>
      <c r="K58" s="815">
        <v>16</v>
      </c>
      <c r="L58" s="815">
        <v>16</v>
      </c>
      <c r="M58" s="815">
        <v>16</v>
      </c>
      <c r="N58" s="39"/>
    </row>
    <row r="59" spans="2:14">
      <c r="B59" s="814" t="s">
        <v>1414</v>
      </c>
      <c r="C59" s="1293">
        <v>17.097799999999999</v>
      </c>
      <c r="D59" s="813">
        <v>17</v>
      </c>
      <c r="E59" s="813">
        <v>17.7485</v>
      </c>
      <c r="F59" s="815">
        <v>16.261299999999999</v>
      </c>
      <c r="G59" s="815">
        <v>17.185500000000001</v>
      </c>
      <c r="H59" s="815">
        <v>16.268599999999999</v>
      </c>
      <c r="I59" s="815">
        <v>16.0489</v>
      </c>
      <c r="J59" s="815">
        <v>16</v>
      </c>
      <c r="K59" s="815">
        <v>11</v>
      </c>
      <c r="L59" s="815">
        <v>11</v>
      </c>
      <c r="M59" s="815">
        <v>11</v>
      </c>
      <c r="N59" s="39"/>
    </row>
    <row r="60" spans="2:14">
      <c r="B60" s="814" t="s">
        <v>188</v>
      </c>
      <c r="C60" s="1293">
        <v>15.55</v>
      </c>
      <c r="D60" s="813"/>
      <c r="E60" s="813">
        <v>15.73</v>
      </c>
      <c r="F60" s="815">
        <v>15.83</v>
      </c>
      <c r="G60" s="815">
        <v>11.76</v>
      </c>
      <c r="H60" s="815">
        <v>11.86</v>
      </c>
      <c r="I60" s="815">
        <v>13.36</v>
      </c>
      <c r="J60" s="815">
        <v>13</v>
      </c>
      <c r="K60" s="815">
        <v>12</v>
      </c>
      <c r="L60" s="815">
        <v>12</v>
      </c>
      <c r="M60" s="815">
        <v>12</v>
      </c>
      <c r="N60" s="39"/>
    </row>
    <row r="61" spans="2:14">
      <c r="B61" s="814" t="s">
        <v>114</v>
      </c>
      <c r="C61" s="1293">
        <v>36.046599999999998</v>
      </c>
      <c r="D61" s="813">
        <v>36</v>
      </c>
      <c r="E61" s="813">
        <v>37.275100000000002</v>
      </c>
      <c r="F61" s="815">
        <v>38.439900000000002</v>
      </c>
      <c r="G61" s="815">
        <v>44.7849</v>
      </c>
      <c r="H61" s="815">
        <v>45.404899999999998</v>
      </c>
      <c r="I61" s="815">
        <v>46.2699</v>
      </c>
      <c r="J61" s="815">
        <v>77</v>
      </c>
      <c r="K61" s="815">
        <v>71.4589</v>
      </c>
      <c r="L61" s="815">
        <v>44</v>
      </c>
      <c r="M61" s="815">
        <v>52</v>
      </c>
      <c r="N61" s="39"/>
    </row>
    <row r="62" spans="2:14">
      <c r="B62" s="814" t="s">
        <v>1415</v>
      </c>
      <c r="C62" s="1293">
        <v>5.52</v>
      </c>
      <c r="D62" s="813">
        <v>6</v>
      </c>
      <c r="E62" s="813">
        <v>3.07</v>
      </c>
      <c r="F62" s="815">
        <v>3.4982000000000002</v>
      </c>
      <c r="G62" s="815">
        <v>3.7848999999999999</v>
      </c>
      <c r="H62" s="815">
        <v>3.7848999999999999</v>
      </c>
      <c r="I62" s="815">
        <v>3.7848999999999999</v>
      </c>
      <c r="J62" s="815">
        <v>2</v>
      </c>
      <c r="K62" s="815">
        <v>1.875</v>
      </c>
      <c r="L62" s="815">
        <v>1</v>
      </c>
      <c r="M62" s="815">
        <v>1</v>
      </c>
      <c r="N62" s="39"/>
    </row>
    <row r="63" spans="2:14">
      <c r="B63" s="814" t="s">
        <v>1416</v>
      </c>
      <c r="C63" s="1293">
        <v>4.7149999999999999</v>
      </c>
      <c r="D63" s="813">
        <v>5</v>
      </c>
      <c r="E63" s="813">
        <v>37.15</v>
      </c>
      <c r="F63" s="815">
        <v>40.86</v>
      </c>
      <c r="G63" s="815">
        <v>40.46</v>
      </c>
      <c r="H63" s="815">
        <v>40.981999999999999</v>
      </c>
      <c r="I63" s="815">
        <v>41.2</v>
      </c>
      <c r="J63" s="815">
        <v>41</v>
      </c>
      <c r="K63" s="815">
        <v>43</v>
      </c>
      <c r="L63" s="815">
        <v>38</v>
      </c>
      <c r="M63" s="815">
        <v>34</v>
      </c>
      <c r="N63" s="39"/>
    </row>
    <row r="64" spans="2:14">
      <c r="B64" s="814" t="s">
        <v>1417</v>
      </c>
      <c r="C64" s="1293">
        <v>284.36579999999998</v>
      </c>
      <c r="D64" s="813">
        <v>274</v>
      </c>
      <c r="E64" s="813">
        <v>264.51100000000002</v>
      </c>
      <c r="F64" s="815">
        <v>235.59530000000001</v>
      </c>
      <c r="G64" s="815">
        <v>208.05950000000001</v>
      </c>
      <c r="H64" s="815">
        <v>206.75470000000001</v>
      </c>
      <c r="I64" s="815">
        <v>209.78190000000001</v>
      </c>
      <c r="J64" s="815">
        <v>187</v>
      </c>
      <c r="K64" s="815">
        <v>179.4145</v>
      </c>
      <c r="L64" s="815">
        <v>168</v>
      </c>
      <c r="M64" s="815">
        <v>161</v>
      </c>
      <c r="N64" s="39"/>
    </row>
    <row r="65" spans="2:14">
      <c r="B65" s="814" t="s">
        <v>1418</v>
      </c>
      <c r="C65" s="1293">
        <v>24.900200000000002</v>
      </c>
      <c r="D65" s="813">
        <v>23</v>
      </c>
      <c r="E65" s="813">
        <v>29.125599999999999</v>
      </c>
      <c r="F65" s="815">
        <v>26.6996</v>
      </c>
      <c r="G65" s="815">
        <v>22.4924</v>
      </c>
      <c r="H65" s="815">
        <v>19.2684</v>
      </c>
      <c r="I65" s="815">
        <v>18.5684</v>
      </c>
      <c r="J65" s="815">
        <v>15</v>
      </c>
      <c r="K65" s="815">
        <v>19</v>
      </c>
      <c r="L65" s="815">
        <v>17</v>
      </c>
      <c r="M65" s="815">
        <v>14</v>
      </c>
      <c r="N65" s="39"/>
    </row>
    <row r="66" spans="2:14">
      <c r="B66" s="814" t="s">
        <v>1419</v>
      </c>
      <c r="C66" s="1293">
        <v>3.7850000000000001</v>
      </c>
      <c r="D66" s="813">
        <v>4</v>
      </c>
      <c r="E66" s="813">
        <v>4.0350000000000001</v>
      </c>
      <c r="F66" s="815">
        <v>5.2450000000000001</v>
      </c>
      <c r="G66" s="815">
        <v>4.5949999999999998</v>
      </c>
      <c r="H66" s="815">
        <v>3.7160000000000002</v>
      </c>
      <c r="I66" s="815">
        <v>4.4770000000000003</v>
      </c>
      <c r="J66" s="815">
        <v>4</v>
      </c>
      <c r="K66" s="815">
        <v>4</v>
      </c>
      <c r="L66" s="815">
        <v>5</v>
      </c>
      <c r="M66" s="815">
        <v>5</v>
      </c>
      <c r="N66" s="39"/>
    </row>
    <row r="67" spans="2:14">
      <c r="B67" s="814" t="s">
        <v>1420</v>
      </c>
      <c r="C67" s="1293">
        <v>0.05</v>
      </c>
      <c r="D67" s="1097">
        <v>0</v>
      </c>
      <c r="E67" s="1097">
        <v>0.15</v>
      </c>
      <c r="F67" s="947">
        <v>0.3</v>
      </c>
      <c r="G67" s="815">
        <v>2.7</v>
      </c>
      <c r="H67" s="815">
        <v>2.4</v>
      </c>
      <c r="I67" s="815">
        <v>2.4649999999999999</v>
      </c>
      <c r="J67" s="815">
        <v>2</v>
      </c>
      <c r="K67" s="815">
        <v>2</v>
      </c>
      <c r="L67" s="815">
        <v>2</v>
      </c>
      <c r="M67" s="815">
        <v>3</v>
      </c>
      <c r="N67" s="39"/>
    </row>
    <row r="68" spans="2:14">
      <c r="B68" s="814" t="s">
        <v>1421</v>
      </c>
      <c r="C68" s="1293">
        <v>0.64</v>
      </c>
      <c r="D68" s="813">
        <v>1</v>
      </c>
      <c r="E68" s="813">
        <v>1.2286999999999999</v>
      </c>
      <c r="F68" s="947">
        <v>0.37869999999999998</v>
      </c>
      <c r="G68" s="815">
        <v>1.9</v>
      </c>
      <c r="H68" s="815">
        <v>2.1</v>
      </c>
      <c r="I68" s="815">
        <v>2.1</v>
      </c>
      <c r="J68" s="815">
        <v>3</v>
      </c>
      <c r="K68" s="815">
        <v>3</v>
      </c>
      <c r="L68" s="815">
        <v>3</v>
      </c>
      <c r="M68" s="815">
        <v>3</v>
      </c>
      <c r="N68" s="39"/>
    </row>
    <row r="69" spans="2:14">
      <c r="B69" s="816" t="s">
        <v>408</v>
      </c>
      <c r="C69" s="1293">
        <v>82.383799999999994</v>
      </c>
      <c r="D69" s="39">
        <v>83</v>
      </c>
      <c r="E69" s="39">
        <v>50.119599999999998</v>
      </c>
      <c r="F69" s="817">
        <v>79.675399999999996</v>
      </c>
      <c r="G69" s="817">
        <v>60.842199999999998</v>
      </c>
      <c r="H69" s="817">
        <v>44.116199999999999</v>
      </c>
      <c r="I69" s="817">
        <v>43.229500000000002</v>
      </c>
      <c r="J69" s="817">
        <v>38</v>
      </c>
      <c r="K69" s="817">
        <v>39</v>
      </c>
      <c r="L69" s="817">
        <v>42</v>
      </c>
      <c r="M69" s="817">
        <v>43</v>
      </c>
      <c r="N69" s="39"/>
    </row>
    <row r="70" spans="2:14">
      <c r="B70" s="127" t="s">
        <v>3</v>
      </c>
      <c r="C70" s="73">
        <v>1470.6470000000002</v>
      </c>
      <c r="D70" s="73">
        <v>1467</v>
      </c>
      <c r="E70" s="73">
        <v>1265</v>
      </c>
      <c r="F70" s="73">
        <v>1219</v>
      </c>
      <c r="G70" s="73">
        <v>1237</v>
      </c>
      <c r="H70" s="73">
        <v>1192</v>
      </c>
      <c r="I70" s="73">
        <v>1172</v>
      </c>
      <c r="J70" s="73">
        <v>1201</v>
      </c>
      <c r="K70" s="73">
        <v>1183</v>
      </c>
      <c r="L70" s="73">
        <v>1137</v>
      </c>
      <c r="M70" s="73">
        <v>1082</v>
      </c>
      <c r="N70" s="126"/>
    </row>
    <row r="71" spans="2:14">
      <c r="B71" s="41" t="s">
        <v>1948</v>
      </c>
    </row>
    <row r="72" spans="2:14">
      <c r="B72" s="41"/>
    </row>
    <row r="73" spans="2:14">
      <c r="B73" s="41"/>
    </row>
    <row r="74" spans="2:14">
      <c r="B74" s="41"/>
    </row>
    <row r="75" spans="2:14" ht="15.6">
      <c r="B75" s="83" t="s">
        <v>53</v>
      </c>
      <c r="C75" s="818"/>
      <c r="D75" s="818"/>
      <c r="E75" s="818"/>
      <c r="F75" s="818"/>
      <c r="G75" s="818"/>
      <c r="H75" s="818"/>
      <c r="I75" s="818"/>
      <c r="J75" s="818"/>
      <c r="K75" s="134"/>
      <c r="L75" s="134"/>
      <c r="M75" s="134"/>
    </row>
    <row r="76" spans="2:14">
      <c r="B76" s="93" t="s">
        <v>1406</v>
      </c>
      <c r="C76" s="818"/>
      <c r="D76" s="818"/>
      <c r="E76" s="818"/>
      <c r="F76" s="818"/>
      <c r="G76" s="818"/>
      <c r="H76" s="818"/>
      <c r="I76" s="818"/>
      <c r="J76" s="818"/>
      <c r="K76" s="134"/>
      <c r="L76" s="134"/>
      <c r="M76" s="134"/>
    </row>
    <row r="77" spans="2:14">
      <c r="B77" s="85"/>
      <c r="C77" s="1557" t="s">
        <v>1383</v>
      </c>
      <c r="D77" s="1557"/>
      <c r="E77" s="1557"/>
      <c r="F77" s="1557"/>
      <c r="G77" s="1557"/>
      <c r="H77" s="1557"/>
      <c r="I77" s="1557"/>
      <c r="J77" s="1557"/>
      <c r="K77" s="1557"/>
      <c r="L77" s="1557"/>
      <c r="M77" s="1557"/>
    </row>
    <row r="78" spans="2:14">
      <c r="B78" s="85"/>
      <c r="C78" s="115">
        <v>2024</v>
      </c>
      <c r="D78" s="115">
        <v>2023</v>
      </c>
      <c r="E78" s="115">
        <v>2022</v>
      </c>
      <c r="F78" s="115">
        <v>2021</v>
      </c>
      <c r="G78" s="115">
        <v>2020</v>
      </c>
      <c r="H78" s="115">
        <v>2019</v>
      </c>
      <c r="I78" s="115">
        <v>2018</v>
      </c>
      <c r="J78" s="115">
        <v>2017</v>
      </c>
      <c r="K78" s="115">
        <v>2016</v>
      </c>
      <c r="L78" s="115">
        <v>2015</v>
      </c>
      <c r="M78" s="115">
        <v>2014</v>
      </c>
      <c r="N78" s="56"/>
    </row>
    <row r="79" spans="2:14">
      <c r="B79" s="812" t="s">
        <v>117</v>
      </c>
      <c r="C79" s="1294">
        <v>889</v>
      </c>
      <c r="D79" s="1399">
        <v>912.48553600000002</v>
      </c>
      <c r="E79" s="206">
        <v>986</v>
      </c>
      <c r="F79" s="206">
        <v>606.84114</v>
      </c>
      <c r="G79" s="948">
        <v>535.80808999999999</v>
      </c>
      <c r="H79" s="948">
        <v>635.15785000000005</v>
      </c>
      <c r="I79" s="948">
        <v>607.07034999999996</v>
      </c>
      <c r="J79" s="948">
        <v>593.09735000000001</v>
      </c>
      <c r="K79" s="948">
        <v>593.26093000000003</v>
      </c>
      <c r="L79" s="948">
        <v>591.07592999999997</v>
      </c>
      <c r="M79" s="948">
        <v>600.30668000000003</v>
      </c>
      <c r="N79" s="948"/>
    </row>
    <row r="80" spans="2:14">
      <c r="B80" s="814" t="s">
        <v>1410</v>
      </c>
      <c r="C80" s="945">
        <v>105</v>
      </c>
      <c r="D80" s="225">
        <v>103.29642</v>
      </c>
      <c r="E80" s="206">
        <v>71</v>
      </c>
      <c r="F80" s="206">
        <v>120.603008</v>
      </c>
      <c r="G80" s="815">
        <v>119.43830800000001</v>
      </c>
      <c r="H80" s="815">
        <v>134.48105000000001</v>
      </c>
      <c r="I80" s="815">
        <v>133.44605000000001</v>
      </c>
      <c r="J80" s="815">
        <v>127.20605</v>
      </c>
      <c r="K80" s="815">
        <v>128.06385</v>
      </c>
      <c r="L80" s="815">
        <v>129.69001</v>
      </c>
      <c r="M80" s="815">
        <v>128.96661</v>
      </c>
      <c r="N80" s="39"/>
    </row>
    <row r="81" spans="2:14">
      <c r="B81" s="814" t="s">
        <v>1417</v>
      </c>
      <c r="C81" s="945">
        <v>123</v>
      </c>
      <c r="D81" s="225">
        <v>105.771175</v>
      </c>
      <c r="E81" s="206">
        <v>99</v>
      </c>
      <c r="F81" s="206">
        <v>101.20441</v>
      </c>
      <c r="G81" s="815">
        <v>93.274056000000002</v>
      </c>
      <c r="H81" s="815">
        <v>98.130020000000002</v>
      </c>
      <c r="I81" s="815">
        <v>97.587112000000005</v>
      </c>
      <c r="J81" s="815">
        <v>107.94252</v>
      </c>
      <c r="K81" s="815">
        <v>89.731250000000003</v>
      </c>
      <c r="L81" s="815">
        <v>93.29495</v>
      </c>
      <c r="M81" s="815">
        <v>87.132946000000004</v>
      </c>
      <c r="N81" s="39"/>
    </row>
    <row r="82" spans="2:14">
      <c r="B82" s="814" t="s">
        <v>715</v>
      </c>
      <c r="C82" s="945">
        <v>80</v>
      </c>
      <c r="D82" s="225">
        <v>78.763019999999997</v>
      </c>
      <c r="E82" s="206">
        <v>84</v>
      </c>
      <c r="F82" s="206">
        <v>78.649424999999994</v>
      </c>
      <c r="G82" s="948">
        <v>75.882525000000001</v>
      </c>
      <c r="H82" s="948">
        <v>47.677050000000001</v>
      </c>
      <c r="I82" s="948">
        <v>47.586925000000001</v>
      </c>
      <c r="J82" s="948">
        <v>44.476525000000002</v>
      </c>
      <c r="K82" s="948">
        <v>44.915925000000001</v>
      </c>
      <c r="L82" s="948">
        <v>42.195625</v>
      </c>
      <c r="M82" s="948">
        <v>42.294975000000001</v>
      </c>
      <c r="N82" s="948"/>
    </row>
    <row r="83" spans="2:14">
      <c r="B83" s="814" t="s">
        <v>1416</v>
      </c>
      <c r="C83" s="945">
        <v>4</v>
      </c>
      <c r="D83" s="225">
        <v>4.4850000000000003</v>
      </c>
      <c r="E83" s="206">
        <v>5</v>
      </c>
      <c r="F83" s="206">
        <v>27.83</v>
      </c>
      <c r="G83" s="815">
        <v>40.6905</v>
      </c>
      <c r="H83" s="815">
        <v>40.290500000000002</v>
      </c>
      <c r="I83" s="815">
        <v>40.668500000000002</v>
      </c>
      <c r="J83" s="815">
        <v>44.5045</v>
      </c>
      <c r="K83" s="815">
        <v>40.601005000000001</v>
      </c>
      <c r="L83" s="815">
        <v>41.324404999999999</v>
      </c>
      <c r="M83" s="815">
        <v>36.526899999999998</v>
      </c>
      <c r="N83" s="39"/>
    </row>
    <row r="84" spans="2:14">
      <c r="B84" s="814" t="s">
        <v>1411</v>
      </c>
      <c r="C84" s="945">
        <v>46</v>
      </c>
      <c r="D84" s="225">
        <v>46.121940000000002</v>
      </c>
      <c r="E84" s="206">
        <v>42</v>
      </c>
      <c r="F84" s="206">
        <v>19.550940000000001</v>
      </c>
      <c r="G84" s="815">
        <v>19.346070000000001</v>
      </c>
      <c r="H84" s="815">
        <v>18.105689999999999</v>
      </c>
      <c r="I84" s="815">
        <v>18.204889999999999</v>
      </c>
      <c r="J84" s="815">
        <v>18.35529</v>
      </c>
      <c r="K84" s="815">
        <v>17.980039999999999</v>
      </c>
      <c r="L84" s="815">
        <v>17.313658</v>
      </c>
      <c r="M84" s="815">
        <v>17.353207999999999</v>
      </c>
      <c r="N84" s="39"/>
    </row>
    <row r="85" spans="2:14">
      <c r="B85" s="814" t="s">
        <v>1413</v>
      </c>
      <c r="C85" s="945">
        <v>15</v>
      </c>
      <c r="D85" s="225">
        <v>15.40306</v>
      </c>
      <c r="E85" s="206">
        <v>14</v>
      </c>
      <c r="F85" s="206">
        <v>11.339399999999999</v>
      </c>
      <c r="G85" s="948">
        <v>12.42015</v>
      </c>
      <c r="H85" s="948">
        <v>17.463650000000001</v>
      </c>
      <c r="I85" s="948">
        <v>17.373650000000001</v>
      </c>
      <c r="J85" s="948">
        <v>17.815149999999999</v>
      </c>
      <c r="K85" s="948">
        <v>17.820150000000002</v>
      </c>
      <c r="L85" s="948">
        <v>17.885149999999999</v>
      </c>
      <c r="M85" s="948">
        <v>17.658650000000002</v>
      </c>
      <c r="N85" s="948"/>
    </row>
    <row r="86" spans="2:14">
      <c r="B86" s="814" t="s">
        <v>188</v>
      </c>
      <c r="C86" s="945">
        <v>32</v>
      </c>
      <c r="D86" s="225">
        <v>33.829000000000001</v>
      </c>
      <c r="E86" s="206">
        <v>14</v>
      </c>
      <c r="F86" s="206">
        <v>24.595600000000001</v>
      </c>
      <c r="G86" s="815">
        <v>24.645720000000001</v>
      </c>
      <c r="H86" s="815">
        <v>17.386399999999998</v>
      </c>
      <c r="I86" s="815">
        <v>17.3918</v>
      </c>
      <c r="J86" s="815">
        <v>18.968499999999999</v>
      </c>
      <c r="K86" s="815">
        <v>18.302499999999998</v>
      </c>
      <c r="L86" s="815">
        <v>17.676200000000001</v>
      </c>
      <c r="M86" s="815">
        <v>16.393999999999998</v>
      </c>
      <c r="N86" s="39"/>
    </row>
    <row r="87" spans="2:14">
      <c r="B87" s="814" t="s">
        <v>273</v>
      </c>
      <c r="C87" s="945">
        <v>38</v>
      </c>
      <c r="D87" s="225">
        <v>36.742302000000002</v>
      </c>
      <c r="E87" s="206">
        <v>27</v>
      </c>
      <c r="F87" s="206">
        <v>10.515000000000001</v>
      </c>
      <c r="G87" s="815">
        <v>14.134</v>
      </c>
      <c r="H87" s="815">
        <v>14.832000000000001</v>
      </c>
      <c r="I87" s="815">
        <v>13.784000000000001</v>
      </c>
      <c r="J87" s="815">
        <v>13.81025</v>
      </c>
      <c r="K87" s="815">
        <v>13.80885</v>
      </c>
      <c r="L87" s="815">
        <v>14.76895</v>
      </c>
      <c r="M87" s="815">
        <v>14.902850000000001</v>
      </c>
      <c r="N87" s="39"/>
    </row>
    <row r="88" spans="2:14">
      <c r="B88" s="814" t="s">
        <v>1418</v>
      </c>
      <c r="C88" s="945">
        <v>16</v>
      </c>
      <c r="D88" s="225">
        <v>15.9095</v>
      </c>
      <c r="E88" s="206">
        <v>15</v>
      </c>
      <c r="F88" s="206">
        <v>20.346800000000002</v>
      </c>
      <c r="G88" s="948">
        <v>17.835450000000002</v>
      </c>
      <c r="H88" s="948">
        <v>12.8081</v>
      </c>
      <c r="I88" s="948">
        <v>10.911</v>
      </c>
      <c r="J88" s="948">
        <v>10.3003</v>
      </c>
      <c r="K88" s="948">
        <v>13.310185000000001</v>
      </c>
      <c r="L88" s="948">
        <v>11.992585</v>
      </c>
      <c r="M88" s="948">
        <v>8.574325</v>
      </c>
      <c r="N88" s="948"/>
    </row>
    <row r="89" spans="2:14">
      <c r="B89" s="814" t="s">
        <v>114</v>
      </c>
      <c r="C89" s="945">
        <v>8</v>
      </c>
      <c r="D89" s="225">
        <v>8.1668500000000002</v>
      </c>
      <c r="E89" s="206">
        <v>8</v>
      </c>
      <c r="F89" s="206">
        <v>7.916525</v>
      </c>
      <c r="G89" s="815">
        <v>8.2759850000000004</v>
      </c>
      <c r="H89" s="815">
        <v>9.2826850000000007</v>
      </c>
      <c r="I89" s="815">
        <v>9.4054850000000005</v>
      </c>
      <c r="J89" s="815">
        <v>9.5522849999999995</v>
      </c>
      <c r="K89" s="815">
        <v>13.310185000000001</v>
      </c>
      <c r="L89" s="815">
        <v>11.992585</v>
      </c>
      <c r="M89" s="815">
        <v>8.574325</v>
      </c>
      <c r="N89" s="39"/>
    </row>
    <row r="90" spans="2:14">
      <c r="B90" s="814" t="s">
        <v>1409</v>
      </c>
      <c r="C90" s="945">
        <v>3</v>
      </c>
      <c r="D90" s="225">
        <v>3.0438000000000001</v>
      </c>
      <c r="E90" s="206">
        <v>5</v>
      </c>
      <c r="F90" s="206">
        <v>4.8249000000000004</v>
      </c>
      <c r="G90" s="815">
        <v>4.6729000000000003</v>
      </c>
      <c r="H90" s="815">
        <v>6.7099000000000002</v>
      </c>
      <c r="I90" s="815">
        <v>6.7648000000000001</v>
      </c>
      <c r="J90" s="815">
        <v>7.2698</v>
      </c>
      <c r="K90" s="815">
        <v>15.068</v>
      </c>
      <c r="L90" s="815">
        <v>14.7658</v>
      </c>
      <c r="M90" s="815">
        <v>10.558</v>
      </c>
      <c r="N90" s="39"/>
    </row>
    <row r="91" spans="2:14">
      <c r="B91" s="814" t="s">
        <v>1414</v>
      </c>
      <c r="C91" s="945">
        <v>10</v>
      </c>
      <c r="D91" s="225">
        <v>8.6891499999999997</v>
      </c>
      <c r="E91" s="206">
        <v>9</v>
      </c>
      <c r="F91" s="206">
        <v>7.4122899999999996</v>
      </c>
      <c r="G91" s="948">
        <v>6.3952900000000001</v>
      </c>
      <c r="H91" s="948">
        <v>6.7772379999999997</v>
      </c>
      <c r="I91" s="948">
        <v>6.45275</v>
      </c>
      <c r="J91" s="948">
        <v>6.4129399999999999</v>
      </c>
      <c r="K91" s="948">
        <v>6.4256399999999996</v>
      </c>
      <c r="L91" s="948">
        <v>2.9719899999999999</v>
      </c>
      <c r="M91" s="948">
        <v>3.01905</v>
      </c>
      <c r="N91" s="948"/>
    </row>
    <row r="92" spans="2:14">
      <c r="B92" s="814" t="s">
        <v>1415</v>
      </c>
      <c r="C92" s="945">
        <v>3</v>
      </c>
      <c r="D92" s="225">
        <v>2.8702999999999999</v>
      </c>
      <c r="E92" s="206">
        <v>3</v>
      </c>
      <c r="F92" s="206">
        <v>1.9037999999999999</v>
      </c>
      <c r="G92" s="815">
        <v>2.8475790000000001</v>
      </c>
      <c r="H92" s="815">
        <v>1.8859300000000001</v>
      </c>
      <c r="I92" s="815">
        <v>1.8859300000000001</v>
      </c>
      <c r="J92" s="815">
        <v>1.6249400000000001</v>
      </c>
      <c r="K92" s="947">
        <v>0.26900000000000002</v>
      </c>
      <c r="L92" s="947">
        <v>0.27229999999999999</v>
      </c>
      <c r="M92" s="947">
        <v>0.27239999999999998</v>
      </c>
      <c r="N92" s="103"/>
    </row>
    <row r="93" spans="2:14">
      <c r="B93" s="814" t="s">
        <v>1419</v>
      </c>
      <c r="C93" s="945">
        <v>1</v>
      </c>
      <c r="D93" s="225">
        <v>1.0580000000000001</v>
      </c>
      <c r="E93" s="206">
        <v>1</v>
      </c>
      <c r="F93" s="206">
        <v>1.1160000000000001</v>
      </c>
      <c r="G93" s="815">
        <v>1.4930000000000001</v>
      </c>
      <c r="H93" s="815">
        <v>1.3305</v>
      </c>
      <c r="I93" s="815">
        <v>0.88224999999999998</v>
      </c>
      <c r="J93" s="815">
        <v>1.57</v>
      </c>
      <c r="K93" s="815">
        <v>1.5683499999999999</v>
      </c>
      <c r="L93" s="815">
        <v>1.5628</v>
      </c>
      <c r="M93" s="815">
        <v>1.76725</v>
      </c>
      <c r="N93" s="39"/>
    </row>
    <row r="94" spans="2:14">
      <c r="B94" s="814" t="s">
        <v>1420</v>
      </c>
      <c r="C94" s="945">
        <v>0</v>
      </c>
      <c r="D94" s="225">
        <v>0.04</v>
      </c>
      <c r="E94" s="225">
        <v>0</v>
      </c>
      <c r="F94" s="225">
        <v>0.12</v>
      </c>
      <c r="G94" s="946">
        <v>0.24</v>
      </c>
      <c r="H94" s="948">
        <v>1.2</v>
      </c>
      <c r="I94" s="948">
        <v>0.96</v>
      </c>
      <c r="J94" s="948">
        <v>1.038</v>
      </c>
      <c r="K94" s="948">
        <v>1.038</v>
      </c>
      <c r="L94" s="948">
        <v>1.038</v>
      </c>
      <c r="M94" s="948">
        <v>1.038</v>
      </c>
      <c r="N94" s="948"/>
    </row>
    <row r="95" spans="2:14">
      <c r="B95" s="814" t="s">
        <v>1412</v>
      </c>
      <c r="C95" s="945">
        <v>0</v>
      </c>
      <c r="D95" s="225">
        <v>0.28799999999999998</v>
      </c>
      <c r="E95" s="206">
        <v>1</v>
      </c>
      <c r="F95" s="206">
        <v>1.3005</v>
      </c>
      <c r="G95" s="815">
        <v>1.1879999999999999</v>
      </c>
      <c r="H95" s="815">
        <v>1.1879999999999999</v>
      </c>
      <c r="I95" s="815">
        <v>1.1879999999999999</v>
      </c>
      <c r="J95" s="815">
        <v>1.1879999999999999</v>
      </c>
      <c r="K95" s="815">
        <v>1.1879999999999999</v>
      </c>
      <c r="L95" s="815">
        <v>1.3380000000000001</v>
      </c>
      <c r="M95" s="815">
        <v>1.488</v>
      </c>
      <c r="N95" s="39"/>
    </row>
    <row r="96" spans="2:14">
      <c r="B96" s="814" t="s">
        <v>1421</v>
      </c>
      <c r="C96" s="945">
        <v>0</v>
      </c>
      <c r="D96" s="225">
        <v>0.30099999999999999</v>
      </c>
      <c r="E96" s="206">
        <v>1</v>
      </c>
      <c r="F96" s="206">
        <v>0.71435000000000004</v>
      </c>
      <c r="G96" s="947">
        <v>0.20935000000000001</v>
      </c>
      <c r="H96" s="947">
        <v>0.13300000000000001</v>
      </c>
      <c r="I96" s="947">
        <v>0.14099999999999999</v>
      </c>
      <c r="J96" s="947">
        <v>0.14099999999999999</v>
      </c>
      <c r="K96" s="947">
        <v>0.183</v>
      </c>
      <c r="L96" s="947">
        <v>0.183</v>
      </c>
      <c r="M96" s="947">
        <v>0.21299999999999999</v>
      </c>
      <c r="N96" s="103"/>
    </row>
    <row r="97" spans="2:14">
      <c r="B97" s="816" t="s">
        <v>408</v>
      </c>
      <c r="C97" s="945">
        <v>38</v>
      </c>
      <c r="D97" s="225">
        <v>36.714725000000001</v>
      </c>
      <c r="E97" s="206">
        <v>19</v>
      </c>
      <c r="F97" s="206">
        <v>18.198865999999999</v>
      </c>
      <c r="G97" s="948">
        <v>33.668264000000001</v>
      </c>
      <c r="H97" s="948">
        <v>28.49438</v>
      </c>
      <c r="I97" s="948">
        <v>24.079149999999998</v>
      </c>
      <c r="J97" s="948">
        <v>25.31156</v>
      </c>
      <c r="K97" s="948">
        <v>25.2563</v>
      </c>
      <c r="L97" s="948">
        <v>25.659800000000001</v>
      </c>
      <c r="M97" s="948">
        <v>26.680399999999999</v>
      </c>
      <c r="N97" s="948"/>
    </row>
    <row r="98" spans="2:14">
      <c r="B98" s="127" t="s">
        <v>3</v>
      </c>
      <c r="C98" s="110">
        <v>1411</v>
      </c>
      <c r="D98" s="110">
        <v>1413.9787780000001</v>
      </c>
      <c r="E98" s="73">
        <v>1404</v>
      </c>
      <c r="F98" s="73">
        <v>1064.9829540000001</v>
      </c>
      <c r="G98" s="73">
        <v>1012.4652370000002</v>
      </c>
      <c r="H98" s="73">
        <v>1093.3339430000001</v>
      </c>
      <c r="I98" s="73">
        <v>1055.7836420000001</v>
      </c>
      <c r="J98" s="73">
        <v>1050.5849600000004</v>
      </c>
      <c r="K98" s="73">
        <v>1042.0999999999999</v>
      </c>
      <c r="L98" s="73">
        <v>1037</v>
      </c>
      <c r="M98" s="73">
        <v>1023.7</v>
      </c>
      <c r="N98" s="126"/>
    </row>
    <row r="99" spans="2:14">
      <c r="B99" s="41" t="s">
        <v>2025</v>
      </c>
    </row>
    <row r="100" spans="2:14">
      <c r="B100" s="41"/>
      <c r="C100" s="506"/>
      <c r="D100" s="506"/>
      <c r="E100" s="506"/>
      <c r="F100" s="506"/>
      <c r="G100" s="506"/>
      <c r="H100" s="506"/>
      <c r="I100" s="506"/>
      <c r="J100" s="506"/>
      <c r="K100" s="506"/>
      <c r="L100" s="506"/>
    </row>
    <row r="102" spans="2:14" ht="15.6">
      <c r="B102" s="86" t="s">
        <v>1630</v>
      </c>
      <c r="C102" s="290"/>
      <c r="D102" s="290"/>
      <c r="E102" s="290"/>
    </row>
    <row r="103" spans="2:14">
      <c r="B103" s="290"/>
      <c r="C103" s="290"/>
      <c r="D103" s="290"/>
      <c r="E103" s="290"/>
    </row>
    <row r="104" spans="2:14">
      <c r="B104" s="290"/>
      <c r="C104" s="290"/>
      <c r="D104" s="290"/>
      <c r="E104" s="290"/>
    </row>
    <row r="105" spans="2:14">
      <c r="B105" s="290" t="s">
        <v>814</v>
      </c>
      <c r="C105" s="290"/>
      <c r="D105" s="290"/>
      <c r="E105" s="290"/>
      <c r="G105" s="159" t="s">
        <v>134</v>
      </c>
      <c r="H105" s="159" t="s">
        <v>668</v>
      </c>
      <c r="I105" s="159"/>
    </row>
    <row r="106" spans="2:14">
      <c r="B106" s="290" t="s">
        <v>1646</v>
      </c>
      <c r="C106" s="290"/>
      <c r="D106" s="290"/>
      <c r="E106" s="290"/>
      <c r="G106" s="159"/>
      <c r="H106" s="162" t="s">
        <v>669</v>
      </c>
      <c r="I106" s="162" t="s">
        <v>670</v>
      </c>
    </row>
    <row r="107" spans="2:14">
      <c r="D107" s="290"/>
      <c r="E107" s="290"/>
      <c r="G107" s="159" t="s">
        <v>52</v>
      </c>
      <c r="H107" s="819">
        <v>1265</v>
      </c>
      <c r="I107" s="162">
        <v>100</v>
      </c>
    </row>
    <row r="108" spans="2:14">
      <c r="D108" s="290"/>
      <c r="E108" s="290"/>
      <c r="G108" s="290" t="s">
        <v>1422</v>
      </c>
      <c r="H108" s="294">
        <v>411.58000000000004</v>
      </c>
      <c r="I108" s="294">
        <f>(H108/$H$107)*100</f>
        <v>32.535968379446643</v>
      </c>
    </row>
    <row r="109" spans="2:14">
      <c r="B109" s="290"/>
      <c r="C109" s="290"/>
      <c r="D109" s="290"/>
      <c r="E109" s="290"/>
      <c r="G109" s="290" t="s">
        <v>1423</v>
      </c>
      <c r="H109" s="294">
        <v>335.49419999999992</v>
      </c>
      <c r="I109" s="294">
        <f>(H109/$H$107)*100</f>
        <v>26.521280632411059</v>
      </c>
    </row>
    <row r="110" spans="2:14">
      <c r="B110" s="290"/>
      <c r="C110" s="290"/>
      <c r="D110" s="290"/>
      <c r="E110" s="290"/>
      <c r="G110" s="290" t="s">
        <v>1425</v>
      </c>
      <c r="H110" s="294">
        <v>179.28</v>
      </c>
      <c r="I110" s="294">
        <f t="shared" ref="I110:I116" si="0">(H110/$H$107)*100</f>
        <v>14.172332015810277</v>
      </c>
    </row>
    <row r="111" spans="2:14">
      <c r="B111" s="290"/>
      <c r="C111" s="290"/>
      <c r="D111" s="290"/>
      <c r="E111" s="290"/>
      <c r="G111" s="290" t="s">
        <v>1424</v>
      </c>
      <c r="H111" s="294">
        <v>72.1785</v>
      </c>
      <c r="I111" s="294">
        <f t="shared" si="0"/>
        <v>5.7058102766798413</v>
      </c>
    </row>
    <row r="112" spans="2:14">
      <c r="B112" s="290"/>
      <c r="C112" s="290"/>
      <c r="D112" s="290"/>
      <c r="E112" s="290"/>
      <c r="G112" s="290" t="s">
        <v>1428</v>
      </c>
      <c r="H112" s="294">
        <v>54.7</v>
      </c>
      <c r="I112" s="294">
        <f t="shared" si="0"/>
        <v>4.3241106719367597</v>
      </c>
    </row>
    <row r="113" spans="2:9">
      <c r="B113" s="290"/>
      <c r="C113" s="290"/>
      <c r="D113" s="290"/>
      <c r="E113" s="290"/>
      <c r="G113" s="290" t="s">
        <v>1431</v>
      </c>
      <c r="H113" s="294">
        <v>39.6</v>
      </c>
      <c r="I113" s="294">
        <f t="shared" si="0"/>
        <v>3.1304347826086958</v>
      </c>
    </row>
    <row r="114" spans="2:9">
      <c r="B114" s="290"/>
      <c r="C114" s="290"/>
      <c r="D114" s="290"/>
      <c r="E114" s="290"/>
      <c r="G114" s="290" t="s">
        <v>1426</v>
      </c>
      <c r="H114" s="294">
        <v>37.199999999999996</v>
      </c>
      <c r="I114" s="294">
        <f t="shared" si="0"/>
        <v>2.9407114624505923</v>
      </c>
    </row>
    <row r="115" spans="2:9">
      <c r="B115" s="290"/>
      <c r="C115" s="290"/>
      <c r="D115" s="290"/>
      <c r="E115" s="290"/>
      <c r="G115" s="290" t="s">
        <v>1427</v>
      </c>
      <c r="H115" s="294">
        <v>37.160600000000002</v>
      </c>
      <c r="I115" s="294">
        <f t="shared" si="0"/>
        <v>2.9375968379446644</v>
      </c>
    </row>
    <row r="116" spans="2:9">
      <c r="B116" s="290"/>
      <c r="C116" s="290"/>
      <c r="D116" s="290"/>
      <c r="E116" s="290"/>
      <c r="G116" s="290" t="s">
        <v>129</v>
      </c>
      <c r="H116" s="294">
        <v>98.026800000000009</v>
      </c>
      <c r="I116" s="294">
        <f t="shared" si="0"/>
        <v>7.7491541501976293</v>
      </c>
    </row>
    <row r="117" spans="2:9">
      <c r="B117" s="290"/>
      <c r="C117" s="290"/>
      <c r="D117" s="290"/>
      <c r="E117" s="290"/>
      <c r="G117" s="290"/>
      <c r="H117" s="820"/>
      <c r="I117" s="294"/>
    </row>
    <row r="118" spans="2:9">
      <c r="B118" s="290"/>
      <c r="C118" s="290"/>
      <c r="D118" s="290"/>
      <c r="E118" s="290"/>
      <c r="G118" s="290"/>
      <c r="H118" s="820"/>
      <c r="I118" s="294"/>
    </row>
    <row r="119" spans="2:9">
      <c r="B119" s="290" t="s">
        <v>1429</v>
      </c>
      <c r="C119" s="290"/>
      <c r="D119" s="290"/>
      <c r="E119" s="290"/>
    </row>
    <row r="120" spans="2:9">
      <c r="B120" s="290"/>
      <c r="C120" s="290"/>
      <c r="D120" s="290"/>
      <c r="E120" s="290"/>
      <c r="G120" s="159" t="s">
        <v>42</v>
      </c>
      <c r="H120" s="159" t="s">
        <v>668</v>
      </c>
      <c r="I120" s="159"/>
    </row>
    <row r="121" spans="2:9">
      <c r="B121" s="290" t="s">
        <v>1644</v>
      </c>
      <c r="C121" s="290"/>
      <c r="D121" s="290"/>
      <c r="E121" s="290"/>
      <c r="G121" s="159" t="s">
        <v>1430</v>
      </c>
      <c r="H121" s="162" t="s">
        <v>669</v>
      </c>
      <c r="I121" s="162" t="s">
        <v>670</v>
      </c>
    </row>
    <row r="122" spans="2:9">
      <c r="B122" s="290"/>
      <c r="C122" s="290"/>
      <c r="D122" s="290"/>
      <c r="E122" s="290"/>
      <c r="G122" s="159" t="s">
        <v>52</v>
      </c>
      <c r="H122" s="159">
        <v>179</v>
      </c>
      <c r="I122" s="159">
        <v>100</v>
      </c>
    </row>
    <row r="123" spans="2:9">
      <c r="B123" s="290"/>
      <c r="C123" s="290"/>
      <c r="D123" s="290"/>
      <c r="E123" s="290"/>
      <c r="G123" s="821" t="s">
        <v>1423</v>
      </c>
      <c r="H123" s="822">
        <v>35.4</v>
      </c>
      <c r="I123" s="294">
        <f>(H123/$H$122)*100</f>
        <v>19.77653631284916</v>
      </c>
    </row>
    <row r="124" spans="2:9">
      <c r="B124" s="290"/>
      <c r="C124" s="821"/>
      <c r="D124" s="290"/>
      <c r="E124" s="290"/>
      <c r="G124" s="821" t="s">
        <v>1431</v>
      </c>
      <c r="H124" s="822">
        <v>33.200000000000003</v>
      </c>
      <c r="I124" s="294">
        <f t="shared" ref="I124:I132" si="1">(H124/$H$122)*100</f>
        <v>18.547486033519554</v>
      </c>
    </row>
    <row r="125" spans="2:9">
      <c r="B125" s="290"/>
      <c r="C125" s="290"/>
      <c r="D125" s="290"/>
      <c r="E125" s="290"/>
      <c r="G125" s="821" t="s">
        <v>1422</v>
      </c>
      <c r="H125" s="822">
        <v>30.85</v>
      </c>
      <c r="I125" s="294">
        <f t="shared" si="1"/>
        <v>17.234636871508378</v>
      </c>
    </row>
    <row r="126" spans="2:9">
      <c r="B126" s="290"/>
      <c r="C126" s="821"/>
      <c r="D126" s="290"/>
      <c r="E126" s="290"/>
      <c r="G126" s="821" t="s">
        <v>1427</v>
      </c>
      <c r="H126" s="822">
        <v>21.28</v>
      </c>
      <c r="I126" s="294">
        <f t="shared" si="1"/>
        <v>11.888268156424582</v>
      </c>
    </row>
    <row r="127" spans="2:9">
      <c r="B127" s="290"/>
      <c r="C127" s="821"/>
      <c r="D127" s="290"/>
      <c r="E127" s="290"/>
      <c r="G127" s="821" t="s">
        <v>1424</v>
      </c>
      <c r="H127" s="822">
        <v>19.286100000000001</v>
      </c>
      <c r="I127" s="294">
        <f t="shared" si="1"/>
        <v>10.774357541899441</v>
      </c>
    </row>
    <row r="128" spans="2:9">
      <c r="B128" s="290"/>
      <c r="C128" s="821"/>
      <c r="D128" s="290"/>
      <c r="E128" s="290"/>
      <c r="G128" s="821" t="s">
        <v>1439</v>
      </c>
      <c r="H128" s="822">
        <v>16.100000000000001</v>
      </c>
      <c r="I128" s="294">
        <f t="shared" si="1"/>
        <v>8.994413407821229</v>
      </c>
    </row>
    <row r="129" spans="2:9">
      <c r="B129" s="290"/>
      <c r="C129" s="821"/>
      <c r="D129" s="290"/>
      <c r="E129" s="290"/>
      <c r="G129" s="821" t="s">
        <v>1432</v>
      </c>
      <c r="H129" s="822">
        <v>6.05</v>
      </c>
      <c r="I129" s="294">
        <f t="shared" si="1"/>
        <v>3.3798882681564244</v>
      </c>
    </row>
    <row r="130" spans="2:9">
      <c r="B130" s="290"/>
      <c r="C130" s="821"/>
      <c r="D130" s="290"/>
      <c r="E130" s="290"/>
      <c r="G130" s="821" t="s">
        <v>1441</v>
      </c>
      <c r="H130" s="822">
        <v>5.5</v>
      </c>
      <c r="I130" s="294">
        <f t="shared" si="1"/>
        <v>3.0726256983240221</v>
      </c>
    </row>
    <row r="131" spans="2:9">
      <c r="B131" s="290"/>
      <c r="C131" s="821"/>
      <c r="D131" s="290"/>
      <c r="E131" s="290"/>
      <c r="G131" s="821" t="s">
        <v>1428</v>
      </c>
      <c r="H131" s="822">
        <v>4.75</v>
      </c>
      <c r="I131" s="294">
        <f t="shared" si="1"/>
        <v>2.6536312849162011</v>
      </c>
    </row>
    <row r="132" spans="2:9">
      <c r="B132" s="290"/>
      <c r="C132" s="821"/>
      <c r="D132" s="290"/>
      <c r="E132" s="290"/>
      <c r="G132" s="821" t="s">
        <v>354</v>
      </c>
      <c r="H132" s="823">
        <v>7.011499999999999</v>
      </c>
      <c r="I132" s="294">
        <f t="shared" si="1"/>
        <v>3.9170391061452507</v>
      </c>
    </row>
    <row r="133" spans="2:9">
      <c r="B133" s="290"/>
      <c r="C133" s="290"/>
      <c r="D133" s="290"/>
      <c r="E133" s="290"/>
      <c r="H133" s="16"/>
    </row>
    <row r="134" spans="2:9">
      <c r="B134" s="290" t="s">
        <v>1434</v>
      </c>
      <c r="C134" s="290"/>
      <c r="D134" s="290"/>
      <c r="E134" s="290"/>
      <c r="G134" s="159" t="s">
        <v>42</v>
      </c>
      <c r="H134" s="159" t="s">
        <v>668</v>
      </c>
      <c r="I134" s="159"/>
    </row>
    <row r="135" spans="2:9">
      <c r="B135" s="290"/>
      <c r="C135" s="290"/>
      <c r="D135" s="290"/>
      <c r="E135" s="290"/>
      <c r="G135" s="159" t="s">
        <v>1435</v>
      </c>
      <c r="H135" s="162" t="s">
        <v>669</v>
      </c>
      <c r="I135" s="162" t="s">
        <v>670</v>
      </c>
    </row>
    <row r="136" spans="2:9">
      <c r="B136" s="290" t="s">
        <v>1645</v>
      </c>
      <c r="C136" s="290"/>
      <c r="D136" s="290"/>
      <c r="E136" s="290"/>
      <c r="G136" s="159" t="s">
        <v>52</v>
      </c>
      <c r="H136" s="488">
        <v>4034</v>
      </c>
      <c r="I136" s="159">
        <v>100</v>
      </c>
    </row>
    <row r="137" spans="2:9">
      <c r="B137" s="821"/>
      <c r="C137" s="290"/>
      <c r="D137" s="290"/>
      <c r="E137" s="290"/>
      <c r="G137" s="821" t="s">
        <v>1423</v>
      </c>
      <c r="H137" s="824">
        <v>1278.3</v>
      </c>
      <c r="I137" s="822">
        <f>H137/$H$136*100</f>
        <v>31.688150718889439</v>
      </c>
    </row>
    <row r="138" spans="2:9">
      <c r="B138" s="821"/>
      <c r="C138" s="290"/>
      <c r="D138" s="290"/>
      <c r="E138" s="290"/>
      <c r="G138" s="821" t="s">
        <v>1432</v>
      </c>
      <c r="H138" s="824">
        <v>1044.7345</v>
      </c>
      <c r="I138" s="822">
        <f t="shared" ref="I138:I151" si="2">H138/$H$136*100</f>
        <v>25.898227565691624</v>
      </c>
    </row>
    <row r="139" spans="2:9">
      <c r="B139" s="821"/>
      <c r="C139" s="290"/>
      <c r="D139" s="290"/>
      <c r="E139" s="290"/>
      <c r="G139" s="821" t="s">
        <v>1428</v>
      </c>
      <c r="H139" s="824">
        <v>430.4049</v>
      </c>
      <c r="I139" s="822">
        <f t="shared" si="2"/>
        <v>10.669432325235498</v>
      </c>
    </row>
    <row r="140" spans="2:9">
      <c r="B140" s="821"/>
      <c r="C140" s="290"/>
      <c r="D140" s="290"/>
      <c r="E140" s="290"/>
      <c r="G140" s="821" t="s">
        <v>1424</v>
      </c>
      <c r="H140" s="824">
        <v>275.41340000000002</v>
      </c>
      <c r="I140" s="822">
        <f t="shared" si="2"/>
        <v>6.8273029251363413</v>
      </c>
    </row>
    <row r="141" spans="2:9">
      <c r="B141" s="818"/>
      <c r="G141" s="821" t="s">
        <v>1436</v>
      </c>
      <c r="H141" s="824">
        <v>250</v>
      </c>
      <c r="I141" s="822">
        <f t="shared" si="2"/>
        <v>6.1973227565691626</v>
      </c>
    </row>
    <row r="142" spans="2:9">
      <c r="B142" s="818"/>
      <c r="G142" s="821" t="s">
        <v>1422</v>
      </c>
      <c r="H142" s="824">
        <v>149.87</v>
      </c>
      <c r="I142" s="822">
        <f t="shared" si="2"/>
        <v>3.7151710461080816</v>
      </c>
    </row>
    <row r="143" spans="2:9">
      <c r="G143" s="821" t="s">
        <v>1437</v>
      </c>
      <c r="H143" s="824">
        <v>90.3</v>
      </c>
      <c r="I143" s="822">
        <f t="shared" si="2"/>
        <v>2.2384729796727809</v>
      </c>
    </row>
    <row r="144" spans="2:9">
      <c r="G144" s="821" t="s">
        <v>1438</v>
      </c>
      <c r="H144" s="824">
        <v>59.356999999999999</v>
      </c>
      <c r="I144" s="822">
        <f t="shared" si="2"/>
        <v>1.4714179474467031</v>
      </c>
    </row>
    <row r="145" spans="2:15">
      <c r="G145" s="821" t="s">
        <v>1440</v>
      </c>
      <c r="H145" s="293">
        <v>58.3</v>
      </c>
      <c r="I145" s="822">
        <f t="shared" si="2"/>
        <v>1.4452156668319287</v>
      </c>
    </row>
    <row r="146" spans="2:15">
      <c r="B146" s="818"/>
      <c r="G146" s="821" t="s">
        <v>1431</v>
      </c>
      <c r="H146" s="824">
        <v>54.2</v>
      </c>
      <c r="I146" s="822">
        <f t="shared" si="2"/>
        <v>1.3435795736241944</v>
      </c>
    </row>
    <row r="147" spans="2:15">
      <c r="G147" s="821" t="s">
        <v>1439</v>
      </c>
      <c r="H147" s="293">
        <v>53.9</v>
      </c>
      <c r="I147" s="822">
        <f t="shared" si="2"/>
        <v>1.3361427863163113</v>
      </c>
    </row>
    <row r="148" spans="2:15">
      <c r="G148" s="821" t="s">
        <v>1427</v>
      </c>
      <c r="H148" s="824">
        <v>47.02</v>
      </c>
      <c r="I148" s="822">
        <f t="shared" si="2"/>
        <v>1.165592464055528</v>
      </c>
    </row>
    <row r="149" spans="2:15">
      <c r="G149" s="821" t="s">
        <v>1426</v>
      </c>
      <c r="H149" s="824">
        <v>43.2</v>
      </c>
      <c r="I149" s="822">
        <f t="shared" si="2"/>
        <v>1.0708973723351511</v>
      </c>
    </row>
    <row r="150" spans="2:15">
      <c r="G150" s="821" t="s">
        <v>1433</v>
      </c>
      <c r="H150" s="824">
        <v>32.15</v>
      </c>
      <c r="I150" s="822">
        <f t="shared" si="2"/>
        <v>0.79697570649479421</v>
      </c>
    </row>
    <row r="151" spans="2:15">
      <c r="G151" s="821" t="s">
        <v>129</v>
      </c>
      <c r="H151" s="4">
        <v>166.71669999999997</v>
      </c>
      <c r="I151" s="822">
        <f t="shared" si="2"/>
        <v>4.1327887952404554</v>
      </c>
    </row>
    <row r="152" spans="2:15">
      <c r="B152" s="193" t="s">
        <v>1642</v>
      </c>
      <c r="H152" s="4"/>
    </row>
    <row r="153" spans="2:15">
      <c r="H153" s="4"/>
    </row>
    <row r="155" spans="2:15" ht="15.6">
      <c r="B155" s="86" t="s">
        <v>1442</v>
      </c>
    </row>
    <row r="157" spans="2:15" ht="15.6">
      <c r="B157" s="86" t="s">
        <v>587</v>
      </c>
    </row>
    <row r="158" spans="2:15" ht="15.6">
      <c r="B158" s="86"/>
    </row>
    <row r="159" spans="2:15" ht="15.6">
      <c r="B159" s="475" t="s">
        <v>582</v>
      </c>
      <c r="C159" s="475"/>
      <c r="D159" s="475"/>
      <c r="E159" s="475"/>
      <c r="F159" s="475"/>
      <c r="G159" s="475"/>
      <c r="H159" s="475"/>
      <c r="I159" s="475"/>
      <c r="J159" s="475"/>
      <c r="K159" s="475"/>
      <c r="L159" s="467"/>
      <c r="M159" s="467"/>
      <c r="N159" s="467"/>
      <c r="O159" s="467"/>
    </row>
    <row r="160" spans="2:15" ht="15.6">
      <c r="B160" s="475"/>
      <c r="C160" s="475"/>
      <c r="D160" s="475"/>
      <c r="E160" s="475"/>
      <c r="F160" s="475"/>
      <c r="G160" s="475"/>
      <c r="H160" s="475"/>
      <c r="I160" s="475"/>
      <c r="J160" s="475"/>
      <c r="K160" s="475"/>
      <c r="L160" s="467"/>
      <c r="M160" s="467"/>
      <c r="N160" s="467"/>
      <c r="O160" s="467"/>
    </row>
    <row r="161" spans="2:16">
      <c r="B161" s="825"/>
      <c r="C161" s="831" t="s">
        <v>2021</v>
      </c>
      <c r="D161" s="831" t="s">
        <v>1906</v>
      </c>
      <c r="E161" s="825" t="s">
        <v>1905</v>
      </c>
      <c r="F161" s="825">
        <v>2021</v>
      </c>
      <c r="G161" s="825">
        <v>2020</v>
      </c>
      <c r="H161" s="825">
        <v>2019</v>
      </c>
      <c r="I161" s="825">
        <v>2018</v>
      </c>
      <c r="J161" s="825">
        <v>2017</v>
      </c>
      <c r="K161" s="825">
        <v>2016</v>
      </c>
      <c r="L161" s="825">
        <v>2015</v>
      </c>
      <c r="M161" s="825">
        <v>2014</v>
      </c>
      <c r="N161" s="166"/>
      <c r="O161" s="757"/>
      <c r="P161" s="757"/>
    </row>
    <row r="162" spans="2:16">
      <c r="B162" s="468" t="s">
        <v>585</v>
      </c>
      <c r="C162" s="1154">
        <v>73897</v>
      </c>
      <c r="D162" s="1193">
        <v>68690</v>
      </c>
      <c r="E162" s="1193">
        <v>70608</v>
      </c>
      <c r="F162" s="355">
        <v>60908</v>
      </c>
      <c r="G162" s="470">
        <v>51367</v>
      </c>
      <c r="H162" s="470">
        <v>54672</v>
      </c>
      <c r="I162" s="470">
        <v>46262</v>
      </c>
      <c r="J162" s="470">
        <v>43536</v>
      </c>
      <c r="K162" s="470">
        <v>40589</v>
      </c>
      <c r="L162" s="470">
        <v>37044.972999999998</v>
      </c>
      <c r="M162" s="470">
        <v>31696.367999999999</v>
      </c>
      <c r="N162" s="470"/>
      <c r="O162" s="470"/>
      <c r="P162" s="309"/>
    </row>
    <row r="163" spans="2:16">
      <c r="B163" s="471" t="s">
        <v>583</v>
      </c>
      <c r="C163" s="1156">
        <v>45808</v>
      </c>
      <c r="D163" s="1194">
        <v>45599</v>
      </c>
      <c r="E163" s="1194">
        <v>47292</v>
      </c>
      <c r="F163" s="601">
        <v>50034</v>
      </c>
      <c r="G163" s="470">
        <v>32273</v>
      </c>
      <c r="H163" s="470">
        <v>31989</v>
      </c>
      <c r="I163" s="470">
        <v>28629</v>
      </c>
      <c r="J163" s="470">
        <v>25870</v>
      </c>
      <c r="K163" s="470">
        <v>25054</v>
      </c>
      <c r="L163" s="470">
        <v>25503.1</v>
      </c>
      <c r="M163" s="470">
        <v>23976.833999999999</v>
      </c>
      <c r="N163" s="1176"/>
      <c r="O163" s="1176"/>
      <c r="P163" s="309"/>
    </row>
    <row r="164" spans="2:16">
      <c r="B164" s="826" t="s">
        <v>733</v>
      </c>
      <c r="C164" s="1180">
        <v>9411</v>
      </c>
      <c r="D164" s="1195">
        <v>9688</v>
      </c>
      <c r="E164" s="1195">
        <v>12529</v>
      </c>
      <c r="F164" s="783">
        <v>12394</v>
      </c>
      <c r="G164" s="827">
        <v>8410</v>
      </c>
      <c r="H164" s="827">
        <v>7370</v>
      </c>
      <c r="I164" s="827">
        <v>6693</v>
      </c>
      <c r="J164" s="827">
        <v>6286</v>
      </c>
      <c r="K164" s="827">
        <v>6401</v>
      </c>
      <c r="L164" s="827">
        <v>5965.6210000000001</v>
      </c>
      <c r="M164" s="827">
        <v>4919.4690000000001</v>
      </c>
      <c r="N164" s="827"/>
      <c r="O164" s="827"/>
      <c r="P164" s="309"/>
    </row>
    <row r="165" spans="2:16">
      <c r="B165" s="828" t="s">
        <v>584</v>
      </c>
      <c r="C165" s="1181">
        <v>1413</v>
      </c>
      <c r="D165" s="1196">
        <v>1121</v>
      </c>
      <c r="E165" s="1196">
        <v>1655</v>
      </c>
      <c r="F165" s="1178">
        <v>1571</v>
      </c>
      <c r="G165" s="829">
        <v>1192</v>
      </c>
      <c r="H165" s="829">
        <v>1228</v>
      </c>
      <c r="I165" s="829">
        <v>1491</v>
      </c>
      <c r="J165" s="829">
        <v>1113</v>
      </c>
      <c r="K165" s="829">
        <v>1538</v>
      </c>
      <c r="L165" s="829">
        <v>1426.8409999999999</v>
      </c>
      <c r="M165" s="829">
        <v>1440.8040000000001</v>
      </c>
      <c r="N165" s="829"/>
      <c r="O165" s="829"/>
      <c r="P165" s="309"/>
    </row>
    <row r="166" spans="2:16">
      <c r="B166" s="830" t="s">
        <v>52</v>
      </c>
      <c r="C166" s="1179">
        <v>130529</v>
      </c>
      <c r="D166" s="1179">
        <v>125098</v>
      </c>
      <c r="E166" s="1179">
        <v>132084</v>
      </c>
      <c r="F166" s="266">
        <v>124907</v>
      </c>
      <c r="G166" s="266">
        <v>93242</v>
      </c>
      <c r="H166" s="266">
        <v>95259</v>
      </c>
      <c r="I166" s="266">
        <v>83075</v>
      </c>
      <c r="J166" s="266">
        <v>76805</v>
      </c>
      <c r="K166" s="266">
        <v>73582</v>
      </c>
      <c r="L166" s="266">
        <v>69940.535000000003</v>
      </c>
      <c r="M166" s="266">
        <v>62033.474999999999</v>
      </c>
      <c r="N166" s="126"/>
      <c r="O166" s="126"/>
      <c r="P166" s="126"/>
    </row>
    <row r="167" spans="2:16">
      <c r="B167" s="193" t="s">
        <v>1643</v>
      </c>
      <c r="C167" s="23"/>
      <c r="D167" s="23"/>
      <c r="E167" s="23"/>
      <c r="F167" s="23"/>
      <c r="G167" s="23"/>
    </row>
    <row r="168" spans="2:16">
      <c r="B168" s="82" t="s">
        <v>2022</v>
      </c>
      <c r="C168" s="23"/>
      <c r="D168" s="23"/>
      <c r="E168" s="23"/>
      <c r="F168" s="23"/>
      <c r="G168" s="23"/>
      <c r="H168" s="23"/>
      <c r="I168" s="23"/>
      <c r="J168" s="23"/>
      <c r="K168" s="23"/>
    </row>
    <row r="170" spans="2:16" ht="15.6">
      <c r="B170" s="86" t="s">
        <v>581</v>
      </c>
    </row>
    <row r="171" spans="2:16" ht="15.6">
      <c r="B171" s="86"/>
    </row>
    <row r="172" spans="2:16" ht="15.6">
      <c r="B172" s="475" t="s">
        <v>582</v>
      </c>
      <c r="C172" s="467"/>
      <c r="D172" s="467"/>
      <c r="E172" s="467"/>
      <c r="F172" s="467"/>
      <c r="G172" s="467"/>
      <c r="H172" s="467"/>
      <c r="I172" s="467"/>
      <c r="J172" s="467"/>
      <c r="K172" s="467"/>
      <c r="L172" s="467"/>
      <c r="M172" s="467"/>
      <c r="N172" s="467"/>
      <c r="O172" s="467"/>
    </row>
    <row r="173" spans="2:16" ht="15.6">
      <c r="B173" s="467"/>
      <c r="C173" s="467"/>
      <c r="D173" s="467"/>
      <c r="E173" s="467"/>
      <c r="F173" s="467"/>
      <c r="G173" s="467"/>
      <c r="H173" s="467"/>
      <c r="I173" s="467"/>
      <c r="J173" s="467"/>
      <c r="K173" s="467"/>
      <c r="L173" s="467"/>
      <c r="M173" s="467"/>
      <c r="N173" s="467"/>
      <c r="O173" s="467"/>
    </row>
    <row r="174" spans="2:16">
      <c r="B174" s="825"/>
      <c r="C174" s="1183" t="s">
        <v>2023</v>
      </c>
      <c r="D174" s="1183" t="s">
        <v>1904</v>
      </c>
      <c r="E174" s="1177" t="s">
        <v>1680</v>
      </c>
      <c r="F174" s="825">
        <v>2021</v>
      </c>
      <c r="G174" s="825">
        <v>2020</v>
      </c>
      <c r="H174" s="825">
        <v>2019</v>
      </c>
      <c r="I174" s="825">
        <v>2018</v>
      </c>
      <c r="J174" s="825">
        <v>2017</v>
      </c>
      <c r="K174" s="825">
        <v>2016</v>
      </c>
      <c r="L174" s="825">
        <v>2015</v>
      </c>
      <c r="M174" s="825">
        <v>2014</v>
      </c>
      <c r="N174" s="166"/>
      <c r="O174" s="757"/>
    </row>
    <row r="175" spans="2:16">
      <c r="B175" s="468" t="s">
        <v>585</v>
      </c>
      <c r="C175" s="1154">
        <v>57330</v>
      </c>
      <c r="D175" s="1193">
        <v>52395</v>
      </c>
      <c r="E175" s="355">
        <v>37278</v>
      </c>
      <c r="F175" s="355">
        <v>37380</v>
      </c>
      <c r="G175" s="470">
        <v>31128</v>
      </c>
      <c r="H175" s="470">
        <v>31732</v>
      </c>
      <c r="I175" s="470">
        <v>42301</v>
      </c>
      <c r="J175" s="470">
        <v>64817</v>
      </c>
      <c r="K175" s="470">
        <v>66228</v>
      </c>
      <c r="L175" s="470">
        <v>59480.205000000002</v>
      </c>
      <c r="M175" s="470">
        <v>58416.538</v>
      </c>
      <c r="N175" s="470"/>
      <c r="O175" s="470"/>
    </row>
    <row r="176" spans="2:16">
      <c r="B176" s="468" t="s">
        <v>584</v>
      </c>
      <c r="C176" s="1154">
        <v>4413</v>
      </c>
      <c r="D176" s="1193">
        <v>4622</v>
      </c>
      <c r="E176" s="355">
        <v>3560</v>
      </c>
      <c r="F176" s="355">
        <v>3453</v>
      </c>
      <c r="G176" s="470">
        <v>2168</v>
      </c>
      <c r="H176" s="470">
        <v>2423</v>
      </c>
      <c r="I176" s="470">
        <v>4677</v>
      </c>
      <c r="J176" s="470">
        <v>5906</v>
      </c>
      <c r="K176" s="470">
        <v>8257</v>
      </c>
      <c r="L176" s="470">
        <v>9041.6049999999996</v>
      </c>
      <c r="M176" s="470">
        <v>5693.4859999999999</v>
      </c>
      <c r="N176" s="470"/>
      <c r="O176" s="470"/>
    </row>
    <row r="177" spans="2:15">
      <c r="B177" s="471" t="s">
        <v>583</v>
      </c>
      <c r="C177" s="1156">
        <v>7127</v>
      </c>
      <c r="D177" s="1194">
        <v>4582</v>
      </c>
      <c r="E177" s="601">
        <v>3863</v>
      </c>
      <c r="F177" s="601">
        <v>2779</v>
      </c>
      <c r="G177" s="470">
        <v>2521</v>
      </c>
      <c r="H177" s="470">
        <v>3525</v>
      </c>
      <c r="I177" s="470">
        <v>2732</v>
      </c>
      <c r="J177" s="470">
        <v>3135</v>
      </c>
      <c r="K177" s="470">
        <v>3719</v>
      </c>
      <c r="L177" s="470">
        <v>4380.2460000000001</v>
      </c>
      <c r="M177" s="470">
        <v>4804.5529999999999</v>
      </c>
      <c r="N177" s="1176"/>
      <c r="O177" s="1176"/>
    </row>
    <row r="178" spans="2:15">
      <c r="B178" s="826" t="s">
        <v>733</v>
      </c>
      <c r="C178" s="1180">
        <v>1029</v>
      </c>
      <c r="D178" s="1195">
        <v>890</v>
      </c>
      <c r="E178" s="783">
        <v>714</v>
      </c>
      <c r="F178" s="783">
        <v>839</v>
      </c>
      <c r="G178" s="827">
        <v>439</v>
      </c>
      <c r="H178" s="827">
        <v>596</v>
      </c>
      <c r="I178" s="827">
        <v>821</v>
      </c>
      <c r="J178" s="827">
        <v>629</v>
      </c>
      <c r="K178" s="827">
        <v>663</v>
      </c>
      <c r="L178" s="827">
        <v>631.12300000000005</v>
      </c>
      <c r="M178" s="827">
        <v>543.33900000000006</v>
      </c>
      <c r="N178" s="827"/>
      <c r="O178" s="827"/>
    </row>
    <row r="179" spans="2:15">
      <c r="B179" s="830" t="s">
        <v>52</v>
      </c>
      <c r="C179" s="266">
        <v>69899</v>
      </c>
      <c r="D179" s="266">
        <f>D178+D177+D176+D175</f>
        <v>62489</v>
      </c>
      <c r="E179" s="266">
        <f>E178+E177+E176+E175</f>
        <v>45415</v>
      </c>
      <c r="F179" s="266">
        <v>44451</v>
      </c>
      <c r="G179" s="266">
        <v>36256</v>
      </c>
      <c r="H179" s="266">
        <v>38276</v>
      </c>
      <c r="I179" s="266">
        <v>50531</v>
      </c>
      <c r="J179" s="266">
        <v>74487</v>
      </c>
      <c r="K179" s="266">
        <v>78867</v>
      </c>
      <c r="L179" s="266">
        <v>73533.179000000004</v>
      </c>
      <c r="M179" s="266">
        <v>69457.915999999997</v>
      </c>
      <c r="N179" s="126"/>
      <c r="O179" s="126"/>
    </row>
    <row r="180" spans="2:15">
      <c r="B180" s="193" t="s">
        <v>1643</v>
      </c>
    </row>
    <row r="181" spans="2:15">
      <c r="B181" s="82" t="s">
        <v>2022</v>
      </c>
    </row>
    <row r="183" spans="2:15" ht="15.6">
      <c r="B183" s="83" t="s">
        <v>587</v>
      </c>
      <c r="C183" s="83"/>
      <c r="D183" s="83"/>
      <c r="E183" s="83"/>
      <c r="F183" s="83"/>
      <c r="G183" s="83"/>
      <c r="H183" s="83"/>
      <c r="I183" s="83"/>
      <c r="J183" s="83"/>
      <c r="K183" s="83"/>
      <c r="L183" s="83"/>
    </row>
    <row r="184" spans="2:15">
      <c r="B184" s="1" t="s">
        <v>1443</v>
      </c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2:15">
      <c r="B185" s="271" t="s">
        <v>590</v>
      </c>
      <c r="C185" s="1183" t="s">
        <v>2023</v>
      </c>
      <c r="D185" s="1183" t="s">
        <v>1904</v>
      </c>
      <c r="E185" s="1183" t="s">
        <v>1907</v>
      </c>
      <c r="F185" s="831">
        <v>2021</v>
      </c>
      <c r="G185" s="831">
        <v>2020</v>
      </c>
      <c r="H185" s="831">
        <v>2019</v>
      </c>
      <c r="I185" s="831">
        <v>2018</v>
      </c>
      <c r="J185" s="831">
        <v>2017</v>
      </c>
      <c r="K185" s="831">
        <v>2016</v>
      </c>
      <c r="L185" s="831">
        <v>2015</v>
      </c>
      <c r="M185" s="831">
        <v>2014</v>
      </c>
      <c r="N185" s="166"/>
      <c r="O185" s="757"/>
    </row>
    <row r="186" spans="2:15">
      <c r="B186" s="832" t="s">
        <v>13</v>
      </c>
      <c r="C186" s="1186">
        <v>25480</v>
      </c>
      <c r="D186" s="1396">
        <v>25667</v>
      </c>
      <c r="E186" s="1190">
        <v>31718</v>
      </c>
      <c r="F186" s="1190">
        <v>34138</v>
      </c>
      <c r="G186" s="833">
        <v>22572</v>
      </c>
      <c r="H186" s="833">
        <v>17955</v>
      </c>
      <c r="I186" s="833">
        <v>13132</v>
      </c>
      <c r="J186" s="833">
        <v>10000</v>
      </c>
      <c r="K186" s="833">
        <v>8933</v>
      </c>
      <c r="L186" s="833">
        <v>7011.85</v>
      </c>
      <c r="M186" s="833">
        <v>7129</v>
      </c>
      <c r="N186" s="834"/>
      <c r="O186" s="834"/>
    </row>
    <row r="187" spans="2:15">
      <c r="B187" s="835" t="s">
        <v>20</v>
      </c>
      <c r="C187" s="1187">
        <v>10365</v>
      </c>
      <c r="D187" s="1397">
        <v>10210</v>
      </c>
      <c r="E187" s="1189">
        <v>6918</v>
      </c>
      <c r="F187" s="1189">
        <v>7246</v>
      </c>
      <c r="G187" s="833">
        <v>4381</v>
      </c>
      <c r="H187" s="833">
        <v>7680</v>
      </c>
      <c r="I187" s="833">
        <v>9864</v>
      </c>
      <c r="J187" s="833">
        <v>10049</v>
      </c>
      <c r="K187" s="833">
        <v>9997</v>
      </c>
      <c r="L187" s="833">
        <v>9103.23</v>
      </c>
      <c r="M187" s="833">
        <v>8289</v>
      </c>
      <c r="N187" s="833"/>
      <c r="O187" s="833"/>
    </row>
    <row r="188" spans="2:15">
      <c r="B188" s="832" t="s">
        <v>746</v>
      </c>
      <c r="C188" s="1186">
        <v>864</v>
      </c>
      <c r="D188" s="1396">
        <v>1085</v>
      </c>
      <c r="E188" s="1190">
        <v>940</v>
      </c>
      <c r="F188" s="1190">
        <v>876.98599999999999</v>
      </c>
      <c r="G188" s="834">
        <v>956</v>
      </c>
      <c r="H188" s="834">
        <v>1440</v>
      </c>
      <c r="I188" s="834">
        <v>1778</v>
      </c>
      <c r="J188" s="834">
        <v>2030</v>
      </c>
      <c r="K188" s="834">
        <v>1394</v>
      </c>
      <c r="L188" s="834">
        <v>1229.0419999999999</v>
      </c>
      <c r="M188" s="834">
        <v>1315</v>
      </c>
      <c r="N188" s="834"/>
      <c r="O188" s="834"/>
    </row>
    <row r="189" spans="2:15">
      <c r="B189" s="832" t="s">
        <v>1444</v>
      </c>
      <c r="C189" s="1186">
        <v>1674</v>
      </c>
      <c r="D189" s="1396">
        <v>1491</v>
      </c>
      <c r="E189" s="1190">
        <v>1681</v>
      </c>
      <c r="F189" s="1190">
        <v>1944.856</v>
      </c>
      <c r="G189" s="834">
        <v>1413</v>
      </c>
      <c r="H189" s="834">
        <v>1203</v>
      </c>
      <c r="I189" s="834">
        <v>996</v>
      </c>
      <c r="J189" s="834">
        <v>872</v>
      </c>
      <c r="K189" s="834">
        <v>1320</v>
      </c>
      <c r="L189" s="834">
        <v>1024</v>
      </c>
      <c r="M189" s="834">
        <v>963</v>
      </c>
      <c r="N189" s="834"/>
      <c r="O189" s="834"/>
    </row>
    <row r="190" spans="2:15">
      <c r="B190" s="751" t="s">
        <v>739</v>
      </c>
      <c r="C190" s="1188">
        <v>263</v>
      </c>
      <c r="D190" s="1382">
        <v>315</v>
      </c>
      <c r="E190" s="1191">
        <v>207</v>
      </c>
      <c r="F190" s="1191">
        <v>345.97899999999998</v>
      </c>
      <c r="G190" s="513">
        <v>219</v>
      </c>
      <c r="H190" s="513">
        <v>372</v>
      </c>
      <c r="I190" s="513">
        <v>373</v>
      </c>
      <c r="J190" s="513">
        <v>463</v>
      </c>
      <c r="K190" s="513">
        <v>436</v>
      </c>
      <c r="L190" s="513">
        <v>1055.5050000000001</v>
      </c>
      <c r="M190" s="513">
        <v>2199</v>
      </c>
      <c r="N190" s="513"/>
      <c r="O190" s="513"/>
    </row>
    <row r="191" spans="2:15">
      <c r="B191" s="837" t="s">
        <v>1445</v>
      </c>
      <c r="C191" s="1263" t="s">
        <v>59</v>
      </c>
      <c r="D191" s="1398" t="s">
        <v>59</v>
      </c>
      <c r="E191" s="1192">
        <v>32</v>
      </c>
      <c r="F191" s="1192">
        <v>81.638999999999996</v>
      </c>
      <c r="G191" s="513">
        <v>56</v>
      </c>
      <c r="H191" s="513">
        <v>259</v>
      </c>
      <c r="I191" s="513">
        <v>362</v>
      </c>
      <c r="J191" s="513">
        <v>493</v>
      </c>
      <c r="K191" s="513">
        <v>400</v>
      </c>
      <c r="L191" s="513">
        <v>482</v>
      </c>
      <c r="M191" s="513">
        <v>345</v>
      </c>
      <c r="N191" s="839"/>
      <c r="O191" s="839"/>
    </row>
    <row r="192" spans="2:15">
      <c r="B192" s="837" t="s">
        <v>129</v>
      </c>
      <c r="C192" s="838">
        <f>C193-C190-C189-C188-C187-C186</f>
        <v>7162</v>
      </c>
      <c r="D192" s="1192">
        <f>D193-D190-D189-D188-D187-D186</f>
        <v>6831</v>
      </c>
      <c r="E192" s="1192">
        <f>E193-E191-E190-E189-E188-E187-E186</f>
        <v>5796</v>
      </c>
      <c r="F192" s="1192">
        <v>5400.0619999999981</v>
      </c>
      <c r="G192" s="839">
        <v>2676</v>
      </c>
      <c r="H192" s="839">
        <v>3080</v>
      </c>
      <c r="I192" s="839">
        <v>2124</v>
      </c>
      <c r="J192" s="839">
        <v>1963</v>
      </c>
      <c r="K192" s="839">
        <v>2574</v>
      </c>
      <c r="L192" s="839">
        <v>5597.4729999999981</v>
      </c>
      <c r="M192" s="839">
        <v>3737</v>
      </c>
      <c r="N192" s="839"/>
      <c r="O192" s="839"/>
    </row>
    <row r="193" spans="2:17">
      <c r="B193" s="840" t="s">
        <v>3</v>
      </c>
      <c r="C193" s="840">
        <v>45808</v>
      </c>
      <c r="D193" s="840">
        <v>45599</v>
      </c>
      <c r="E193" s="840">
        <v>47292</v>
      </c>
      <c r="F193" s="840">
        <v>50033.521999999997</v>
      </c>
      <c r="G193" s="840">
        <v>32273</v>
      </c>
      <c r="H193" s="840">
        <v>31989</v>
      </c>
      <c r="I193" s="840">
        <v>28629</v>
      </c>
      <c r="J193" s="840">
        <v>25870</v>
      </c>
      <c r="K193" s="840">
        <v>25054</v>
      </c>
      <c r="L193" s="840">
        <v>25503.1</v>
      </c>
      <c r="M193" s="840">
        <v>23977</v>
      </c>
      <c r="N193" s="1182"/>
      <c r="O193" s="1182"/>
    </row>
    <row r="194" spans="2:17">
      <c r="B194" s="193" t="s">
        <v>1643</v>
      </c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</row>
    <row r="195" spans="2:17">
      <c r="B195" s="82" t="s">
        <v>2024</v>
      </c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</row>
    <row r="197" spans="2:17">
      <c r="B197" s="1" t="s">
        <v>1288</v>
      </c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2:17">
      <c r="B198" s="271" t="s">
        <v>590</v>
      </c>
      <c r="C198" s="1183" t="s">
        <v>2023</v>
      </c>
      <c r="D198" s="1183" t="s">
        <v>1904</v>
      </c>
      <c r="E198" s="1183" t="s">
        <v>1907</v>
      </c>
      <c r="F198" s="831">
        <v>2021</v>
      </c>
      <c r="G198" s="831">
        <v>2020</v>
      </c>
      <c r="H198" s="831">
        <v>2019</v>
      </c>
      <c r="I198" s="831">
        <v>2018</v>
      </c>
      <c r="J198" s="831">
        <v>2017</v>
      </c>
      <c r="K198" s="831">
        <v>2016</v>
      </c>
      <c r="L198" s="831">
        <v>2015</v>
      </c>
      <c r="M198" s="831">
        <v>2014</v>
      </c>
      <c r="N198" s="166"/>
      <c r="O198" s="757"/>
    </row>
    <row r="199" spans="2:17">
      <c r="B199" s="835" t="s">
        <v>1446</v>
      </c>
      <c r="C199" s="1185">
        <v>3353</v>
      </c>
      <c r="D199" s="835">
        <v>3851</v>
      </c>
      <c r="E199" s="1189">
        <v>10160</v>
      </c>
      <c r="F199" s="1189">
        <v>12283</v>
      </c>
      <c r="G199" s="833">
        <v>8992</v>
      </c>
      <c r="H199" s="833">
        <v>8665</v>
      </c>
      <c r="I199" s="833">
        <v>11573</v>
      </c>
      <c r="J199" s="833">
        <v>10231</v>
      </c>
      <c r="K199" s="833">
        <v>5790</v>
      </c>
      <c r="L199" s="833">
        <v>1331.047</v>
      </c>
      <c r="M199" s="833">
        <v>1743</v>
      </c>
      <c r="N199" s="513"/>
      <c r="O199" s="513"/>
    </row>
    <row r="200" spans="2:17">
      <c r="B200" s="832" t="s">
        <v>1447</v>
      </c>
      <c r="C200" s="1184">
        <v>12277</v>
      </c>
      <c r="D200" s="832">
        <v>9498</v>
      </c>
      <c r="E200" s="1190">
        <v>9295</v>
      </c>
      <c r="F200" s="1190">
        <v>6967</v>
      </c>
      <c r="G200" s="833">
        <v>7960</v>
      </c>
      <c r="H200" s="833">
        <v>7416</v>
      </c>
      <c r="I200" s="833">
        <v>6415</v>
      </c>
      <c r="J200" s="833">
        <v>3660</v>
      </c>
      <c r="K200" s="833">
        <v>2278</v>
      </c>
      <c r="L200" s="833">
        <v>2180.4549999999999</v>
      </c>
      <c r="M200" s="833">
        <v>3213</v>
      </c>
      <c r="N200" s="513"/>
      <c r="O200" s="513"/>
    </row>
    <row r="201" spans="2:17">
      <c r="B201" s="835" t="s">
        <v>1448</v>
      </c>
      <c r="C201" s="1185">
        <v>5814</v>
      </c>
      <c r="D201" s="835">
        <v>5289</v>
      </c>
      <c r="E201" s="1189">
        <v>6064</v>
      </c>
      <c r="F201" s="1189">
        <v>3664</v>
      </c>
      <c r="G201" s="833">
        <v>5744</v>
      </c>
      <c r="H201" s="833">
        <v>6940</v>
      </c>
      <c r="I201" s="833">
        <v>3248</v>
      </c>
      <c r="J201" s="833">
        <v>5726</v>
      </c>
      <c r="K201" s="833">
        <v>7893</v>
      </c>
      <c r="L201" s="833">
        <v>14894.281999999999</v>
      </c>
      <c r="M201" s="833">
        <v>8936</v>
      </c>
      <c r="N201" s="513"/>
      <c r="O201" s="513"/>
    </row>
    <row r="202" spans="2:17">
      <c r="B202" s="835" t="s">
        <v>10</v>
      </c>
      <c r="C202" s="1185">
        <v>5976</v>
      </c>
      <c r="D202" s="835">
        <v>6047</v>
      </c>
      <c r="E202" s="1189">
        <v>7549</v>
      </c>
      <c r="F202" s="1189">
        <v>7437</v>
      </c>
      <c r="G202" s="833">
        <v>5836</v>
      </c>
      <c r="H202" s="833">
        <v>6831</v>
      </c>
      <c r="I202" s="833">
        <v>5923</v>
      </c>
      <c r="J202" s="833">
        <v>6054</v>
      </c>
      <c r="K202" s="833">
        <v>5464</v>
      </c>
      <c r="L202" s="833">
        <v>4739.0230000000001</v>
      </c>
      <c r="M202" s="833">
        <v>4712</v>
      </c>
      <c r="N202" s="513"/>
      <c r="O202" s="513"/>
    </row>
    <row r="203" spans="2:17">
      <c r="B203" s="832" t="s">
        <v>1449</v>
      </c>
      <c r="C203" s="1185">
        <v>4816</v>
      </c>
      <c r="D203" s="835">
        <v>6074</v>
      </c>
      <c r="E203" s="1189">
        <v>5670</v>
      </c>
      <c r="F203" s="1189">
        <v>4145.0749999999998</v>
      </c>
      <c r="G203" s="834">
        <v>3880</v>
      </c>
      <c r="H203" s="834">
        <v>4776</v>
      </c>
      <c r="I203" s="834">
        <v>3851</v>
      </c>
      <c r="J203" s="834">
        <v>4423</v>
      </c>
      <c r="K203" s="834">
        <v>3457</v>
      </c>
      <c r="L203" s="834">
        <v>4947.2839999999997</v>
      </c>
      <c r="M203" s="834">
        <v>4930</v>
      </c>
      <c r="N203" s="513"/>
      <c r="O203" s="513"/>
      <c r="P203" s="16"/>
      <c r="Q203" s="134"/>
    </row>
    <row r="204" spans="2:17">
      <c r="B204" s="832" t="s">
        <v>1450</v>
      </c>
      <c r="C204" s="1184">
        <v>10842</v>
      </c>
      <c r="D204" s="832">
        <v>8693</v>
      </c>
      <c r="E204" s="1190">
        <v>7059</v>
      </c>
      <c r="F204" s="1190">
        <v>5077.6559999999999</v>
      </c>
      <c r="G204" s="834">
        <v>3423</v>
      </c>
      <c r="H204" s="834">
        <v>3874</v>
      </c>
      <c r="I204" s="834">
        <v>2992</v>
      </c>
      <c r="J204" s="834">
        <v>2205</v>
      </c>
      <c r="K204" s="834">
        <v>1444</v>
      </c>
      <c r="L204" s="834">
        <v>973</v>
      </c>
      <c r="M204" s="834">
        <v>460</v>
      </c>
      <c r="N204" s="513"/>
      <c r="O204" s="513"/>
      <c r="P204" s="16"/>
      <c r="Q204" s="134"/>
    </row>
    <row r="205" spans="2:17">
      <c r="B205" s="832" t="s">
        <v>13</v>
      </c>
      <c r="C205" s="1184">
        <v>6199</v>
      </c>
      <c r="D205" s="832">
        <v>5272</v>
      </c>
      <c r="E205" s="1190">
        <v>5087</v>
      </c>
      <c r="F205" s="1190">
        <v>4339.0569999999998</v>
      </c>
      <c r="G205" s="833">
        <v>3408</v>
      </c>
      <c r="H205" s="833">
        <v>3204</v>
      </c>
      <c r="I205" s="833">
        <v>3091</v>
      </c>
      <c r="J205" s="833">
        <v>2273</v>
      </c>
      <c r="K205" s="833">
        <v>1804</v>
      </c>
      <c r="L205" s="833">
        <v>1799.546</v>
      </c>
      <c r="M205" s="833">
        <v>1826</v>
      </c>
      <c r="N205" s="513"/>
      <c r="O205" s="513"/>
      <c r="P205" s="16"/>
      <c r="Q205" s="134"/>
    </row>
    <row r="206" spans="2:17">
      <c r="B206" s="832" t="s">
        <v>745</v>
      </c>
      <c r="C206" s="1184">
        <v>956</v>
      </c>
      <c r="D206" s="832">
        <v>2236</v>
      </c>
      <c r="E206" s="1190">
        <v>1341</v>
      </c>
      <c r="F206" s="1190">
        <v>3230.1660000000002</v>
      </c>
      <c r="G206" s="833">
        <v>2135</v>
      </c>
      <c r="H206" s="833">
        <v>1437</v>
      </c>
      <c r="I206" s="833">
        <v>548</v>
      </c>
      <c r="J206" s="833">
        <v>650</v>
      </c>
      <c r="K206" s="833">
        <v>6895</v>
      </c>
      <c r="L206" s="833">
        <v>475</v>
      </c>
      <c r="M206" s="833">
        <v>538</v>
      </c>
      <c r="N206" s="513"/>
      <c r="O206" s="513"/>
      <c r="P206" s="16"/>
      <c r="Q206" s="134"/>
    </row>
    <row r="207" spans="2:17">
      <c r="B207" s="751" t="s">
        <v>129</v>
      </c>
      <c r="C207" s="836">
        <f>C208-C206-C205-C204-C203-C202-C201-C200-C199</f>
        <v>23664</v>
      </c>
      <c r="D207" s="1191">
        <f>D208-D206-D205-D204-D203-D202-D201-D200-D199</f>
        <v>21730</v>
      </c>
      <c r="E207" s="1191">
        <f>E208-E206-E205-E204-E203-E202-E201-E200-E199</f>
        <v>18383</v>
      </c>
      <c r="F207" s="1191">
        <v>13765.046000000002</v>
      </c>
      <c r="G207" s="513">
        <v>9989</v>
      </c>
      <c r="H207" s="513">
        <v>11529</v>
      </c>
      <c r="I207" s="513">
        <v>8621</v>
      </c>
      <c r="J207" s="513">
        <v>8314</v>
      </c>
      <c r="K207" s="513">
        <v>7008</v>
      </c>
      <c r="L207" s="513">
        <v>7153.3359999999993</v>
      </c>
      <c r="M207" s="513">
        <v>6317</v>
      </c>
      <c r="N207" s="513"/>
      <c r="O207" s="513"/>
      <c r="P207" s="23"/>
    </row>
    <row r="208" spans="2:17">
      <c r="B208" s="840" t="s">
        <v>3</v>
      </c>
      <c r="C208" s="840">
        <v>73897</v>
      </c>
      <c r="D208" s="840">
        <v>68690</v>
      </c>
      <c r="E208" s="266">
        <v>70608</v>
      </c>
      <c r="F208" s="266">
        <v>60908</v>
      </c>
      <c r="G208" s="266">
        <v>51367</v>
      </c>
      <c r="H208" s="266">
        <v>54672</v>
      </c>
      <c r="I208" s="266">
        <v>46262</v>
      </c>
      <c r="J208" s="266">
        <v>43536</v>
      </c>
      <c r="K208" s="266">
        <v>40589</v>
      </c>
      <c r="L208" s="266">
        <v>37044.972999999998</v>
      </c>
      <c r="M208" s="266">
        <v>31677</v>
      </c>
      <c r="N208" s="126"/>
      <c r="O208" s="126"/>
    </row>
    <row r="209" spans="2:16">
      <c r="B209" s="193" t="s">
        <v>1643</v>
      </c>
    </row>
    <row r="210" spans="2:16">
      <c r="B210" s="82" t="s">
        <v>2022</v>
      </c>
      <c r="C210" s="23"/>
      <c r="D210" s="23"/>
      <c r="E210" s="23"/>
      <c r="F210" s="23"/>
    </row>
    <row r="212" spans="2:16" ht="15.6">
      <c r="B212" s="83" t="s">
        <v>588</v>
      </c>
    </row>
    <row r="213" spans="2:16">
      <c r="B213" s="1" t="s">
        <v>1288</v>
      </c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2:16">
      <c r="B214" s="271" t="s">
        <v>590</v>
      </c>
      <c r="C214" s="1183" t="s">
        <v>2023</v>
      </c>
      <c r="D214" s="1183" t="s">
        <v>1904</v>
      </c>
      <c r="E214" s="1183" t="s">
        <v>1907</v>
      </c>
      <c r="F214" s="831">
        <v>2021</v>
      </c>
      <c r="G214" s="831">
        <v>2020</v>
      </c>
      <c r="H214" s="831">
        <v>2019</v>
      </c>
      <c r="I214" s="831">
        <v>2018</v>
      </c>
      <c r="J214" s="831">
        <v>2017</v>
      </c>
      <c r="K214" s="831">
        <v>2016</v>
      </c>
      <c r="L214" s="831">
        <v>2015</v>
      </c>
      <c r="M214" s="831">
        <v>2014</v>
      </c>
      <c r="N214" s="166"/>
      <c r="O214" s="757"/>
    </row>
    <row r="215" spans="2:16">
      <c r="B215" s="835" t="s">
        <v>13</v>
      </c>
      <c r="C215" s="1185">
        <v>22836</v>
      </c>
      <c r="D215" s="835">
        <v>17176</v>
      </c>
      <c r="E215" s="1189">
        <v>14131</v>
      </c>
      <c r="F215" s="1189">
        <v>16159.672</v>
      </c>
      <c r="G215" s="833">
        <v>14680</v>
      </c>
      <c r="H215" s="833">
        <v>15307</v>
      </c>
      <c r="I215" s="833">
        <v>18475</v>
      </c>
      <c r="J215" s="833">
        <v>25552</v>
      </c>
      <c r="K215" s="833">
        <v>24105</v>
      </c>
      <c r="L215" s="833">
        <v>21809</v>
      </c>
      <c r="M215" s="833">
        <v>19679</v>
      </c>
      <c r="N215" s="833"/>
      <c r="O215" s="833"/>
      <c r="P215" s="16"/>
    </row>
    <row r="216" spans="2:16">
      <c r="B216" s="835" t="s">
        <v>12</v>
      </c>
      <c r="C216" s="1185">
        <v>14681</v>
      </c>
      <c r="D216" s="835">
        <v>13456</v>
      </c>
      <c r="E216" s="1189">
        <v>7289</v>
      </c>
      <c r="F216" s="1189">
        <v>6147.768</v>
      </c>
      <c r="G216" s="833">
        <v>3971</v>
      </c>
      <c r="H216" s="833">
        <v>5971</v>
      </c>
      <c r="I216" s="833">
        <v>10644</v>
      </c>
      <c r="J216" s="833">
        <v>21589</v>
      </c>
      <c r="K216" s="833">
        <v>23549</v>
      </c>
      <c r="L216" s="833">
        <v>22111</v>
      </c>
      <c r="M216" s="833">
        <v>22673</v>
      </c>
      <c r="N216" s="833"/>
      <c r="O216" s="833"/>
      <c r="P216" s="16"/>
    </row>
    <row r="217" spans="2:16">
      <c r="B217" s="835" t="s">
        <v>9</v>
      </c>
      <c r="C217" s="1185">
        <v>5410</v>
      </c>
      <c r="D217" s="835">
        <v>4993</v>
      </c>
      <c r="E217" s="1189">
        <v>3059</v>
      </c>
      <c r="F217" s="1189">
        <v>3171.5459999999998</v>
      </c>
      <c r="G217" s="834">
        <v>2550</v>
      </c>
      <c r="H217" s="834">
        <v>2341</v>
      </c>
      <c r="I217" s="833">
        <v>2171</v>
      </c>
      <c r="J217" s="833">
        <v>943</v>
      </c>
      <c r="K217" s="833">
        <v>812</v>
      </c>
      <c r="L217" s="833">
        <v>1119</v>
      </c>
      <c r="M217" s="833">
        <v>1350</v>
      </c>
      <c r="N217" s="833"/>
      <c r="O217" s="833"/>
      <c r="P217" s="16"/>
    </row>
    <row r="218" spans="2:16">
      <c r="B218" s="832" t="s">
        <v>17</v>
      </c>
      <c r="C218" s="1185">
        <v>3984</v>
      </c>
      <c r="D218" s="835">
        <v>5084</v>
      </c>
      <c r="E218" s="1189">
        <v>2750</v>
      </c>
      <c r="F218" s="1189">
        <v>2582.6979999999999</v>
      </c>
      <c r="G218" s="833">
        <v>1669</v>
      </c>
      <c r="H218" s="833">
        <v>1413</v>
      </c>
      <c r="I218" s="834">
        <v>2682</v>
      </c>
      <c r="J218" s="834">
        <v>2195</v>
      </c>
      <c r="K218" s="834">
        <v>3918</v>
      </c>
      <c r="L218" s="834">
        <v>1322</v>
      </c>
      <c r="M218" s="834">
        <v>2284</v>
      </c>
      <c r="N218" s="513"/>
      <c r="O218" s="513"/>
      <c r="P218" s="16"/>
    </row>
    <row r="219" spans="2:16">
      <c r="B219" s="832" t="s">
        <v>27</v>
      </c>
      <c r="C219" s="1184">
        <v>3431</v>
      </c>
      <c r="D219" s="832">
        <v>3195</v>
      </c>
      <c r="E219" s="1190">
        <v>2689</v>
      </c>
      <c r="F219" s="1190">
        <v>2910.826</v>
      </c>
      <c r="G219" s="833">
        <v>2194</v>
      </c>
      <c r="H219" s="833">
        <v>1192</v>
      </c>
      <c r="I219" s="833">
        <v>1276</v>
      </c>
      <c r="J219" s="833">
        <v>1801</v>
      </c>
      <c r="K219" s="833">
        <v>662</v>
      </c>
      <c r="L219" s="833">
        <v>802</v>
      </c>
      <c r="M219" s="833">
        <v>910</v>
      </c>
      <c r="N219" s="834"/>
      <c r="O219" s="834"/>
      <c r="P219" s="16"/>
    </row>
    <row r="220" spans="2:16">
      <c r="B220" s="832" t="s">
        <v>6</v>
      </c>
      <c r="C220" s="1184">
        <v>532</v>
      </c>
      <c r="D220" s="832">
        <v>396</v>
      </c>
      <c r="E220" s="1190">
        <v>201</v>
      </c>
      <c r="F220" s="1190">
        <v>333.55900000000003</v>
      </c>
      <c r="G220" s="833">
        <v>432</v>
      </c>
      <c r="H220" s="833">
        <v>1074</v>
      </c>
      <c r="I220" s="833">
        <v>1204</v>
      </c>
      <c r="J220" s="833">
        <v>1998</v>
      </c>
      <c r="K220" s="833">
        <v>1507</v>
      </c>
      <c r="L220" s="833">
        <v>2327</v>
      </c>
      <c r="M220" s="833">
        <v>1810</v>
      </c>
      <c r="N220" s="833"/>
      <c r="O220" s="833"/>
      <c r="P220" s="16"/>
    </row>
    <row r="221" spans="2:16">
      <c r="B221" s="835" t="s">
        <v>10</v>
      </c>
      <c r="C221" s="1185">
        <v>1161</v>
      </c>
      <c r="D221" s="835">
        <v>1405</v>
      </c>
      <c r="E221" s="1189">
        <v>2252</v>
      </c>
      <c r="F221" s="1189">
        <v>1515.0540000000001</v>
      </c>
      <c r="G221" s="833">
        <v>1020</v>
      </c>
      <c r="H221" s="833">
        <v>729</v>
      </c>
      <c r="I221" s="833">
        <v>1563</v>
      </c>
      <c r="J221" s="833">
        <v>3859</v>
      </c>
      <c r="K221" s="833">
        <v>4469</v>
      </c>
      <c r="L221" s="833">
        <v>3207</v>
      </c>
      <c r="M221" s="833">
        <v>4293</v>
      </c>
      <c r="N221" s="833"/>
      <c r="O221" s="833"/>
      <c r="P221" s="16"/>
    </row>
    <row r="222" spans="2:16">
      <c r="B222" s="832" t="s">
        <v>1445</v>
      </c>
      <c r="C222" s="1184">
        <v>122</v>
      </c>
      <c r="D222" s="832">
        <v>116</v>
      </c>
      <c r="E222" s="1190">
        <v>187</v>
      </c>
      <c r="F222" s="1190">
        <v>55.786999999999999</v>
      </c>
      <c r="G222" s="833">
        <v>277</v>
      </c>
      <c r="H222" s="833">
        <v>146</v>
      </c>
      <c r="I222" s="834">
        <v>326</v>
      </c>
      <c r="J222" s="834">
        <v>2228</v>
      </c>
      <c r="K222" s="834">
        <v>2574</v>
      </c>
      <c r="L222" s="834">
        <v>2126</v>
      </c>
      <c r="M222" s="834">
        <v>2477</v>
      </c>
      <c r="N222" s="834"/>
      <c r="O222" s="834"/>
      <c r="P222" s="16"/>
    </row>
    <row r="223" spans="2:16">
      <c r="B223" s="751" t="s">
        <v>129</v>
      </c>
      <c r="C223" s="836">
        <f>C224-C222-C221-C220-C219-C218-C217-C216-C215</f>
        <v>5173</v>
      </c>
      <c r="D223" s="1191">
        <f>D224-D222-D221-D220-D219-D218-D217-D216-D215</f>
        <v>6574</v>
      </c>
      <c r="E223" s="1191">
        <f>E224-E222-E221-E220-E219-E218-E217-E216-E215</f>
        <v>4720</v>
      </c>
      <c r="F223" s="1191">
        <v>4502.9589999999953</v>
      </c>
      <c r="G223" s="834">
        <v>4335</v>
      </c>
      <c r="H223" s="834">
        <v>3559</v>
      </c>
      <c r="I223" s="513">
        <v>3960</v>
      </c>
      <c r="J223" s="513">
        <v>4651</v>
      </c>
      <c r="K223" s="513">
        <v>4632</v>
      </c>
      <c r="L223" s="513">
        <v>4657</v>
      </c>
      <c r="M223" s="513">
        <v>2941</v>
      </c>
      <c r="N223" s="513"/>
      <c r="O223" s="513"/>
    </row>
    <row r="224" spans="2:16">
      <c r="B224" s="840" t="s">
        <v>3</v>
      </c>
      <c r="C224" s="840">
        <v>57330</v>
      </c>
      <c r="D224" s="840">
        <v>52395</v>
      </c>
      <c r="E224" s="266">
        <v>37278</v>
      </c>
      <c r="F224" s="266">
        <v>37379.868999999999</v>
      </c>
      <c r="G224" s="266">
        <v>31128</v>
      </c>
      <c r="H224" s="266">
        <v>31732</v>
      </c>
      <c r="I224" s="266">
        <v>42301</v>
      </c>
      <c r="J224" s="266">
        <v>64816</v>
      </c>
      <c r="K224" s="266">
        <v>66228</v>
      </c>
      <c r="L224" s="266">
        <v>59480</v>
      </c>
      <c r="M224" s="266">
        <v>58417</v>
      </c>
      <c r="N224" s="126"/>
      <c r="O224" s="126"/>
      <c r="P224" s="23"/>
    </row>
    <row r="225" spans="2:14">
      <c r="B225" s="193" t="s">
        <v>1643</v>
      </c>
    </row>
    <row r="226" spans="2:14">
      <c r="B226" s="82" t="s">
        <v>2024</v>
      </c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</row>
  </sheetData>
  <mergeCells count="3">
    <mergeCell ref="C37:M37"/>
    <mergeCell ref="C49:M49"/>
    <mergeCell ref="C77:M77"/>
  </mergeCells>
  <phoneticPr fontId="138" type="noConversion"/>
  <hyperlinks>
    <hyperlink ref="B22" r:id="rId1" display="Source: Worldbank, 2017,  World Development Indicators " xr:uid="{00000000-0004-0000-2400-000000000000}"/>
    <hyperlink ref="B71" r:id="rId2" display="Source: Turkish Statistical Institute: Crop Production Statistics, Ministry of Food, Agriculture and Livestock, 2017" xr:uid="{00000000-0004-0000-2400-000003000000}"/>
    <hyperlink ref="B99" r:id="rId3" display="Source: Turkish Statistical Institute: Crop Production Statistics, Ministry of Food, Agriculture and Livestock, 2017" xr:uid="{00000000-0004-0000-2400-000004000000}"/>
    <hyperlink ref="B152" r:id="rId4" display="Source: Ministry of Ministry of Food,Agriculture and Livestock, Database: Turkish Statistical Institute" xr:uid="{00000000-0004-0000-2400-000005000000}"/>
    <hyperlink ref="B167" r:id="rId5" display="Source: Turkish Statistical Institute, Database: Foreign Trade Statistics" xr:uid="{00000000-0004-0000-2400-000006000000}"/>
    <hyperlink ref="B180" r:id="rId6" display="Source: Turkish Statistical Institute, Database: Foreign Trade Statistics" xr:uid="{00000000-0004-0000-2400-000007000000}"/>
    <hyperlink ref="B209" r:id="rId7" display="Source: Turkish Statistical Institute, Database: Foreign Trade Statistics" xr:uid="{00000000-0004-0000-2400-000008000000}"/>
    <hyperlink ref="B225" r:id="rId8" display="Source: Turkish Statistical Institute, Database: Foreign Trade Statistics" xr:uid="{00000000-0004-0000-2400-000009000000}"/>
    <hyperlink ref="B194" r:id="rId9" display="Source: Turkish Statistical Institute, Database: Foreign Trade Statistics" xr:uid="{00000000-0004-0000-2400-00000A000000}"/>
    <hyperlink ref="B44" r:id="rId10" display="Source: Turkish Statistical Institute: Crop Production Statistics, Ministry of Food, Agriculture and Livestock, 2022" xr:uid="{00000000-0004-0000-2400-000002000000}"/>
    <hyperlink ref="B33" r:id="rId11" display="Source: Turkish Statistical Institute: Crop Production Statistics, Ministry of Food, Agriculture and Livestock, 2022" xr:uid="{00000000-0004-0000-2400-000001000000}"/>
  </hyperlinks>
  <pageMargins left="0.7" right="0.7" top="0.78740157499999996" bottom="0.78740157499999996" header="0.3" footer="0.3"/>
  <pageSetup paperSize="9" orientation="portrait" r:id="rId1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00B050"/>
  </sheetPr>
  <dimension ref="B2:N53"/>
  <sheetViews>
    <sheetView zoomScale="90" zoomScaleNormal="90" workbookViewId="0">
      <selection activeCell="P22" sqref="P22"/>
    </sheetView>
  </sheetViews>
  <sheetFormatPr defaultColWidth="11.5546875" defaultRowHeight="14.4"/>
  <cols>
    <col min="1" max="1" width="3" customWidth="1"/>
    <col min="2" max="2" width="22" customWidth="1"/>
  </cols>
  <sheetData>
    <row r="2" spans="2:14" ht="15.6">
      <c r="B2" s="83" t="s">
        <v>1663</v>
      </c>
    </row>
    <row r="6" spans="2:14" ht="15.6">
      <c r="B6" s="86" t="s">
        <v>1297</v>
      </c>
    </row>
    <row r="7" spans="2:14">
      <c r="B7" s="260" t="s">
        <v>582</v>
      </c>
    </row>
    <row r="8" spans="2:14">
      <c r="B8" s="261"/>
      <c r="C8" s="174" t="s">
        <v>2421</v>
      </c>
      <c r="D8" s="174" t="s">
        <v>1918</v>
      </c>
      <c r="E8" s="174">
        <v>2022</v>
      </c>
      <c r="F8" s="174">
        <v>2021</v>
      </c>
      <c r="G8" s="174">
        <v>2020</v>
      </c>
      <c r="H8" s="174">
        <v>2019</v>
      </c>
      <c r="I8" s="174">
        <v>2018</v>
      </c>
      <c r="J8" s="174">
        <v>2017</v>
      </c>
      <c r="K8" s="174">
        <v>2016</v>
      </c>
      <c r="L8" s="174">
        <v>2015</v>
      </c>
      <c r="M8" s="174">
        <v>2014</v>
      </c>
      <c r="N8" s="94"/>
    </row>
    <row r="9" spans="2:14" ht="15" thickBot="1">
      <c r="B9" s="263" t="s">
        <v>585</v>
      </c>
      <c r="C9" s="1150">
        <v>53492</v>
      </c>
      <c r="D9" s="1363">
        <v>56357</v>
      </c>
      <c r="E9" s="44">
        <v>54001</v>
      </c>
      <c r="F9" s="44">
        <v>54484</v>
      </c>
      <c r="G9" s="44">
        <v>44094</v>
      </c>
      <c r="H9" s="204">
        <v>44980</v>
      </c>
      <c r="I9" s="204">
        <v>48866</v>
      </c>
      <c r="J9" s="204">
        <v>51060</v>
      </c>
      <c r="K9" s="204">
        <v>46590</v>
      </c>
      <c r="L9" s="204">
        <v>45821</v>
      </c>
      <c r="M9" s="204">
        <v>42398</v>
      </c>
      <c r="N9" s="309"/>
    </row>
    <row r="10" spans="2:14" ht="15" thickBot="1">
      <c r="B10" s="263" t="s">
        <v>583</v>
      </c>
      <c r="C10" s="1150">
        <v>6790</v>
      </c>
      <c r="D10" s="1363">
        <v>3555</v>
      </c>
      <c r="E10" s="44">
        <v>3575</v>
      </c>
      <c r="F10" s="44">
        <v>3787</v>
      </c>
      <c r="G10" s="44">
        <v>3182</v>
      </c>
      <c r="H10" s="204">
        <v>3523</v>
      </c>
      <c r="I10" s="204">
        <v>2612</v>
      </c>
      <c r="J10" s="204">
        <v>1</v>
      </c>
      <c r="K10" s="204">
        <v>81</v>
      </c>
      <c r="L10" s="204">
        <v>135</v>
      </c>
      <c r="M10" s="204">
        <v>3</v>
      </c>
      <c r="N10" s="309"/>
    </row>
    <row r="11" spans="2:14" ht="15" thickBot="1">
      <c r="B11" s="264" t="s">
        <v>584</v>
      </c>
      <c r="C11" s="1152">
        <v>9</v>
      </c>
      <c r="D11" s="1376">
        <v>2</v>
      </c>
      <c r="E11" s="109">
        <v>26</v>
      </c>
      <c r="F11" s="109">
        <v>19</v>
      </c>
      <c r="G11" s="57">
        <v>0</v>
      </c>
      <c r="H11" s="265">
        <v>2</v>
      </c>
      <c r="I11" s="265">
        <v>7</v>
      </c>
      <c r="J11" s="265">
        <v>58</v>
      </c>
      <c r="K11" s="265">
        <v>17</v>
      </c>
      <c r="L11" s="951">
        <v>0</v>
      </c>
      <c r="M11" s="265">
        <v>2</v>
      </c>
      <c r="N11" s="1110"/>
    </row>
    <row r="12" spans="2:14">
      <c r="B12" s="264" t="s">
        <v>586</v>
      </c>
      <c r="C12" s="1152">
        <v>119</v>
      </c>
      <c r="D12" s="1376">
        <v>7</v>
      </c>
      <c r="E12" s="57">
        <v>445</v>
      </c>
      <c r="F12" s="57">
        <v>303</v>
      </c>
      <c r="G12" s="109">
        <v>424</v>
      </c>
      <c r="H12" s="265">
        <v>206</v>
      </c>
      <c r="I12" s="265">
        <v>64</v>
      </c>
      <c r="J12" s="265">
        <v>23</v>
      </c>
      <c r="K12" s="952">
        <v>121</v>
      </c>
      <c r="L12" s="265">
        <v>577</v>
      </c>
      <c r="M12" s="265">
        <v>939</v>
      </c>
      <c r="N12" s="309"/>
    </row>
    <row r="13" spans="2:14">
      <c r="B13" s="261" t="s">
        <v>52</v>
      </c>
      <c r="C13" s="266">
        <f>C9+C10+C11+C12</f>
        <v>60410</v>
      </c>
      <c r="D13" s="266">
        <f>D9+D10+D11+D12</f>
        <v>59921</v>
      </c>
      <c r="E13" s="266">
        <f>E9+E10+E11+E12</f>
        <v>58047</v>
      </c>
      <c r="F13" s="266">
        <f>F9+F10+F11+F12</f>
        <v>58593</v>
      </c>
      <c r="G13" s="266">
        <v>47700</v>
      </c>
      <c r="H13" s="266">
        <v>48711</v>
      </c>
      <c r="I13" s="266">
        <v>51549</v>
      </c>
      <c r="J13" s="266">
        <v>51142</v>
      </c>
      <c r="K13" s="266">
        <v>46809</v>
      </c>
      <c r="L13" s="266">
        <v>46533</v>
      </c>
      <c r="M13" s="266">
        <v>43342</v>
      </c>
      <c r="N13" s="126"/>
    </row>
    <row r="14" spans="2:14">
      <c r="B14" s="1286" t="s">
        <v>2018</v>
      </c>
    </row>
    <row r="15" spans="2:14">
      <c r="B15" s="87" t="s">
        <v>1659</v>
      </c>
      <c r="G15" s="16"/>
      <c r="H15" s="16"/>
    </row>
    <row r="16" spans="2:14">
      <c r="B16" s="19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</row>
    <row r="17" spans="2:13">
      <c r="B17" s="193"/>
      <c r="G17" s="16"/>
      <c r="H17" s="16"/>
    </row>
    <row r="18" spans="2:13" ht="15.6">
      <c r="B18" s="83" t="s">
        <v>1297</v>
      </c>
      <c r="C18" s="83"/>
      <c r="D18" s="83"/>
      <c r="E18" s="83"/>
      <c r="F18" s="83"/>
      <c r="G18" s="83"/>
      <c r="H18" s="83"/>
      <c r="I18" s="83"/>
      <c r="J18" s="83"/>
    </row>
    <row r="19" spans="2:13">
      <c r="B19" s="1" t="s">
        <v>1660</v>
      </c>
      <c r="C19" s="1"/>
      <c r="D19" s="1"/>
      <c r="E19" s="1"/>
      <c r="F19" s="1"/>
      <c r="G19" s="1"/>
      <c r="H19" s="1"/>
      <c r="I19" s="1"/>
      <c r="J19" s="1"/>
    </row>
    <row r="20" spans="2:13">
      <c r="B20" s="953"/>
      <c r="C20" s="153">
        <v>2024</v>
      </c>
      <c r="D20" s="153">
        <v>2023</v>
      </c>
      <c r="E20" s="153">
        <v>2022</v>
      </c>
      <c r="F20" s="153">
        <v>2021</v>
      </c>
      <c r="G20" s="153">
        <v>2020</v>
      </c>
      <c r="H20" s="153">
        <v>2019</v>
      </c>
      <c r="I20" s="153">
        <v>2018</v>
      </c>
      <c r="J20" s="153">
        <v>2017</v>
      </c>
      <c r="K20" s="153">
        <v>2016</v>
      </c>
      <c r="L20" s="153">
        <v>2015</v>
      </c>
      <c r="M20" s="153">
        <v>2014</v>
      </c>
    </row>
    <row r="21" spans="2:13" ht="15" thickBot="1">
      <c r="B21" s="762" t="s">
        <v>13</v>
      </c>
      <c r="C21" s="1280">
        <v>46058</v>
      </c>
      <c r="D21" s="1391">
        <v>48599</v>
      </c>
      <c r="E21" s="512">
        <v>44529</v>
      </c>
      <c r="F21" s="512">
        <v>45710</v>
      </c>
      <c r="G21" s="512">
        <v>37981</v>
      </c>
      <c r="H21" s="955">
        <v>34958</v>
      </c>
      <c r="I21" s="955">
        <v>41012</v>
      </c>
      <c r="J21" s="955">
        <v>43879</v>
      </c>
      <c r="K21" s="955">
        <v>38636</v>
      </c>
      <c r="L21" s="955">
        <v>36756</v>
      </c>
      <c r="M21" s="955">
        <v>36236</v>
      </c>
    </row>
    <row r="22" spans="2:13" ht="15" thickBot="1">
      <c r="B22" s="337" t="s">
        <v>10</v>
      </c>
      <c r="C22" s="1280">
        <v>1810</v>
      </c>
      <c r="D22" s="1391">
        <v>1278</v>
      </c>
      <c r="E22" s="512">
        <v>1848</v>
      </c>
      <c r="F22" s="512">
        <v>2045</v>
      </c>
      <c r="G22" s="512">
        <v>1505</v>
      </c>
      <c r="H22" s="955">
        <v>1433</v>
      </c>
      <c r="I22" s="955">
        <v>1171</v>
      </c>
      <c r="J22" s="955">
        <v>1498</v>
      </c>
      <c r="K22" s="955">
        <v>1550</v>
      </c>
      <c r="L22" s="955">
        <v>1574</v>
      </c>
      <c r="M22" s="955">
        <v>1095</v>
      </c>
    </row>
    <row r="23" spans="2:13" ht="15" thickBot="1">
      <c r="B23" s="337" t="s">
        <v>1620</v>
      </c>
      <c r="C23" s="1280">
        <v>708</v>
      </c>
      <c r="D23" s="1391">
        <v>759</v>
      </c>
      <c r="E23" s="512">
        <v>1091</v>
      </c>
      <c r="F23" s="512">
        <v>1431</v>
      </c>
      <c r="G23" s="512">
        <v>1275</v>
      </c>
      <c r="H23" s="955">
        <v>1331</v>
      </c>
      <c r="I23" s="955">
        <v>1247</v>
      </c>
      <c r="J23" s="955">
        <v>899</v>
      </c>
      <c r="K23" s="955">
        <v>1679</v>
      </c>
      <c r="L23" s="955">
        <v>586</v>
      </c>
      <c r="M23" s="955">
        <v>651</v>
      </c>
    </row>
    <row r="24" spans="2:13" ht="15" thickBot="1">
      <c r="B24" s="337" t="s">
        <v>12</v>
      </c>
      <c r="C24" s="1280">
        <v>814</v>
      </c>
      <c r="D24" s="1391">
        <v>609</v>
      </c>
      <c r="E24" s="512">
        <v>641</v>
      </c>
      <c r="F24" s="512">
        <v>626</v>
      </c>
      <c r="G24" s="512">
        <v>496</v>
      </c>
      <c r="H24" s="955">
        <v>734</v>
      </c>
      <c r="I24" s="955">
        <v>527</v>
      </c>
      <c r="J24" s="955">
        <v>293</v>
      </c>
      <c r="K24" s="955">
        <v>842</v>
      </c>
      <c r="L24" s="955">
        <v>579</v>
      </c>
      <c r="M24" s="955">
        <v>725</v>
      </c>
    </row>
    <row r="25" spans="2:13" ht="15" thickBot="1">
      <c r="B25" s="337" t="s">
        <v>25</v>
      </c>
      <c r="C25" s="1280">
        <v>1163</v>
      </c>
      <c r="D25" s="1391">
        <v>1495</v>
      </c>
      <c r="E25" s="512">
        <v>890</v>
      </c>
      <c r="F25" s="512">
        <v>427</v>
      </c>
      <c r="G25" s="512">
        <v>450</v>
      </c>
      <c r="H25" s="955">
        <v>869</v>
      </c>
      <c r="I25" s="955">
        <v>857</v>
      </c>
      <c r="J25" s="955">
        <v>314</v>
      </c>
      <c r="K25" s="955">
        <v>225</v>
      </c>
      <c r="L25" s="955">
        <v>586</v>
      </c>
      <c r="M25" s="955">
        <v>943</v>
      </c>
    </row>
    <row r="26" spans="2:13" ht="15" thickBot="1">
      <c r="B26" s="337" t="s">
        <v>24</v>
      </c>
      <c r="C26" s="1280">
        <v>428</v>
      </c>
      <c r="D26" s="1391">
        <v>288</v>
      </c>
      <c r="E26" s="512">
        <v>395</v>
      </c>
      <c r="F26" s="512">
        <v>1641</v>
      </c>
      <c r="G26" s="512">
        <v>436</v>
      </c>
      <c r="H26" s="955">
        <v>403</v>
      </c>
      <c r="I26" s="955">
        <v>543</v>
      </c>
      <c r="J26" s="955">
        <v>533</v>
      </c>
      <c r="K26" s="955">
        <v>642</v>
      </c>
      <c r="L26" s="955">
        <v>488</v>
      </c>
      <c r="M26" s="955">
        <v>187</v>
      </c>
    </row>
    <row r="27" spans="2:13">
      <c r="B27" s="154" t="s">
        <v>129</v>
      </c>
      <c r="C27" s="1157">
        <v>2511</v>
      </c>
      <c r="D27" s="1364">
        <v>3329</v>
      </c>
      <c r="E27" s="513">
        <f>E28-E26-E25-E24-E23-E22-E21</f>
        <v>4607</v>
      </c>
      <c r="F27" s="513">
        <f>F28-F26-F25-F24-F23-F22-F21</f>
        <v>2604</v>
      </c>
      <c r="G27" s="513">
        <v>1951</v>
      </c>
      <c r="H27" s="309">
        <v>5252</v>
      </c>
      <c r="I27" s="309">
        <v>3509</v>
      </c>
      <c r="J27" s="309">
        <v>3644</v>
      </c>
      <c r="K27" s="309">
        <v>3016</v>
      </c>
      <c r="L27" s="309">
        <v>5252</v>
      </c>
      <c r="M27" s="309">
        <v>2561</v>
      </c>
    </row>
    <row r="28" spans="2:13">
      <c r="B28" s="478" t="s">
        <v>52</v>
      </c>
      <c r="C28" s="478">
        <v>53492</v>
      </c>
      <c r="D28" s="478">
        <v>56357</v>
      </c>
      <c r="E28" s="478">
        <v>54001</v>
      </c>
      <c r="F28" s="478">
        <v>54484</v>
      </c>
      <c r="G28" s="478">
        <v>44094</v>
      </c>
      <c r="H28" s="478">
        <v>44980</v>
      </c>
      <c r="I28" s="478">
        <v>48866</v>
      </c>
      <c r="J28" s="478">
        <v>51060</v>
      </c>
      <c r="K28" s="478">
        <v>46590</v>
      </c>
      <c r="L28" s="478">
        <v>45821</v>
      </c>
      <c r="M28" s="478">
        <v>42398</v>
      </c>
    </row>
    <row r="29" spans="2:13">
      <c r="B29" s="1287" t="s">
        <v>2019</v>
      </c>
      <c r="C29" s="957"/>
      <c r="D29" s="957"/>
      <c r="E29" s="957"/>
      <c r="F29" s="957"/>
      <c r="G29" s="957"/>
      <c r="H29" s="957"/>
      <c r="I29" s="957"/>
      <c r="J29" s="957"/>
      <c r="K29" s="957"/>
      <c r="L29" s="957"/>
      <c r="M29" s="957"/>
    </row>
    <row r="30" spans="2:13">
      <c r="B30" s="858"/>
      <c r="C30" s="957"/>
      <c r="D30" s="957"/>
      <c r="E30" s="957"/>
      <c r="F30" s="957"/>
      <c r="G30" s="957"/>
      <c r="H30" s="957"/>
      <c r="I30" s="957"/>
      <c r="J30" s="957"/>
      <c r="K30" s="957"/>
      <c r="L30" s="957"/>
      <c r="M30" s="957"/>
    </row>
    <row r="31" spans="2:13" ht="15.6">
      <c r="B31" s="83" t="s">
        <v>1297</v>
      </c>
      <c r="C31" s="10"/>
      <c r="D31" s="10"/>
      <c r="E31" s="10"/>
      <c r="F31" s="10"/>
      <c r="G31" s="10"/>
      <c r="H31" s="10"/>
    </row>
    <row r="32" spans="2:13">
      <c r="B32" s="1" t="s">
        <v>1661</v>
      </c>
      <c r="C32" s="93"/>
      <c r="D32" s="93"/>
      <c r="E32" s="93"/>
      <c r="F32" s="93"/>
      <c r="G32" s="93"/>
      <c r="H32" s="93"/>
      <c r="I32" s="1"/>
      <c r="J32" s="1"/>
    </row>
    <row r="33" spans="2:13">
      <c r="B33" s="271" t="s">
        <v>590</v>
      </c>
      <c r="C33" s="271">
        <v>2024</v>
      </c>
      <c r="D33" s="271">
        <v>2023</v>
      </c>
      <c r="E33" s="271">
        <v>2022</v>
      </c>
      <c r="F33" s="153">
        <v>2021</v>
      </c>
      <c r="G33" s="153">
        <v>2020</v>
      </c>
      <c r="H33" s="153">
        <v>2019</v>
      </c>
      <c r="I33" s="153">
        <v>2018</v>
      </c>
      <c r="J33" s="153">
        <v>2017</v>
      </c>
      <c r="K33" s="153">
        <v>2016</v>
      </c>
      <c r="L33" s="153">
        <v>2015</v>
      </c>
      <c r="M33" s="153">
        <v>2014</v>
      </c>
    </row>
    <row r="34" spans="2:13" ht="15" thickBot="1">
      <c r="B34" s="762" t="s">
        <v>13</v>
      </c>
      <c r="C34" s="954">
        <v>19569</v>
      </c>
      <c r="D34" s="512">
        <v>21732</v>
      </c>
      <c r="E34" s="512">
        <v>22259</v>
      </c>
      <c r="F34" s="512">
        <v>23205</v>
      </c>
      <c r="G34" s="512">
        <v>17118</v>
      </c>
      <c r="H34" s="955">
        <v>13082</v>
      </c>
      <c r="I34" s="955">
        <v>17676</v>
      </c>
      <c r="J34" s="955">
        <v>23476</v>
      </c>
      <c r="K34" s="955">
        <v>21164</v>
      </c>
      <c r="L34" s="955">
        <v>19442</v>
      </c>
      <c r="M34" s="955">
        <v>19891</v>
      </c>
    </row>
    <row r="35" spans="2:13" ht="15" thickBot="1">
      <c r="B35" s="337" t="s">
        <v>30</v>
      </c>
      <c r="C35" s="954">
        <v>350</v>
      </c>
      <c r="D35" s="512">
        <v>426</v>
      </c>
      <c r="E35" s="512">
        <v>548</v>
      </c>
      <c r="F35" s="512">
        <v>456</v>
      </c>
      <c r="G35" s="512">
        <v>322</v>
      </c>
      <c r="H35" s="955">
        <v>410</v>
      </c>
      <c r="I35" s="955">
        <v>307</v>
      </c>
      <c r="J35" s="955">
        <v>197</v>
      </c>
      <c r="K35" s="955">
        <v>20</v>
      </c>
      <c r="L35" s="955">
        <v>2</v>
      </c>
      <c r="M35" s="955">
        <v>29</v>
      </c>
    </row>
    <row r="36" spans="2:13">
      <c r="B36" s="154" t="s">
        <v>129</v>
      </c>
      <c r="C36" s="956">
        <v>355</v>
      </c>
      <c r="D36" s="513">
        <v>1214</v>
      </c>
      <c r="E36" s="513">
        <f>E37-E35-E34</f>
        <v>1809</v>
      </c>
      <c r="F36" s="513">
        <f>F37-F35-F34</f>
        <v>337</v>
      </c>
      <c r="G36" s="513">
        <v>289</v>
      </c>
      <c r="H36" s="958">
        <v>2558</v>
      </c>
      <c r="I36" s="958">
        <v>813</v>
      </c>
      <c r="J36" s="958">
        <v>618</v>
      </c>
      <c r="K36" s="958">
        <v>936</v>
      </c>
      <c r="L36" s="309">
        <v>1330</v>
      </c>
      <c r="M36" s="309">
        <v>1692</v>
      </c>
    </row>
    <row r="37" spans="2:13">
      <c r="B37" s="478" t="s">
        <v>52</v>
      </c>
      <c r="C37" s="478">
        <v>20274</v>
      </c>
      <c r="D37" s="478">
        <v>23372</v>
      </c>
      <c r="E37" s="478">
        <v>24616</v>
      </c>
      <c r="F37" s="272">
        <v>23998</v>
      </c>
      <c r="G37" s="272">
        <v>17729</v>
      </c>
      <c r="H37" s="272">
        <v>16050</v>
      </c>
      <c r="I37" s="272">
        <v>18796</v>
      </c>
      <c r="J37" s="272">
        <v>24291</v>
      </c>
      <c r="K37" s="272">
        <v>22120</v>
      </c>
      <c r="L37" s="272">
        <v>20774</v>
      </c>
      <c r="M37" s="272">
        <v>21612</v>
      </c>
    </row>
    <row r="38" spans="2:13">
      <c r="B38" s="1287" t="s">
        <v>2019</v>
      </c>
      <c r="C38" s="959"/>
      <c r="D38" s="959"/>
      <c r="E38" s="959"/>
      <c r="F38" s="959"/>
      <c r="G38" s="959"/>
      <c r="H38" s="959"/>
      <c r="I38" s="959"/>
      <c r="J38" s="959"/>
      <c r="K38" s="959"/>
      <c r="L38" s="959"/>
      <c r="M38" s="959"/>
    </row>
    <row r="39" spans="2:13">
      <c r="B39" s="960"/>
      <c r="C39" s="959"/>
      <c r="D39" s="959"/>
      <c r="E39" s="959"/>
      <c r="F39" s="959"/>
      <c r="G39" s="959"/>
      <c r="H39" s="959"/>
      <c r="I39" s="959"/>
      <c r="J39" s="959"/>
      <c r="K39" s="959"/>
      <c r="L39" s="959"/>
      <c r="M39" s="959"/>
    </row>
    <row r="40" spans="2:13">
      <c r="B40" s="960"/>
      <c r="C40" s="959"/>
      <c r="D40" s="959"/>
      <c r="E40" s="959"/>
      <c r="F40" s="959"/>
      <c r="G40" s="959"/>
      <c r="H40" s="959"/>
      <c r="I40" s="959"/>
      <c r="J40" s="959"/>
      <c r="K40" s="959"/>
      <c r="L40" s="959"/>
      <c r="M40" s="959"/>
    </row>
    <row r="41" spans="2:13" ht="15.6">
      <c r="B41" s="83" t="s">
        <v>1297</v>
      </c>
    </row>
    <row r="42" spans="2:13">
      <c r="B42" s="1" t="s">
        <v>1662</v>
      </c>
      <c r="C42" s="93"/>
      <c r="D42" s="93"/>
      <c r="E42" s="93"/>
      <c r="F42" s="93"/>
      <c r="G42" s="93"/>
      <c r="H42" s="93"/>
      <c r="I42" s="309"/>
      <c r="J42" s="309"/>
      <c r="K42" s="309"/>
      <c r="L42" s="309"/>
      <c r="M42" s="309"/>
    </row>
    <row r="43" spans="2:13">
      <c r="B43" s="271" t="s">
        <v>590</v>
      </c>
      <c r="C43" s="271">
        <v>2024</v>
      </c>
      <c r="D43" s="271">
        <v>2023</v>
      </c>
      <c r="E43" s="271">
        <v>2022</v>
      </c>
      <c r="F43" s="153">
        <v>2021</v>
      </c>
      <c r="G43" s="153">
        <v>2020</v>
      </c>
      <c r="H43" s="153">
        <v>2019</v>
      </c>
      <c r="I43" s="153">
        <v>2018</v>
      </c>
      <c r="J43" s="153">
        <v>2017</v>
      </c>
      <c r="K43" s="153">
        <v>2016</v>
      </c>
      <c r="L43" s="153">
        <v>2015</v>
      </c>
      <c r="M43" s="153">
        <v>2014</v>
      </c>
    </row>
    <row r="44" spans="2:13" ht="15" thickBot="1">
      <c r="B44" s="762" t="s">
        <v>13</v>
      </c>
      <c r="C44" s="954">
        <v>26477</v>
      </c>
      <c r="D44" s="512">
        <v>26867</v>
      </c>
      <c r="E44" s="512">
        <v>22270</v>
      </c>
      <c r="F44" s="512">
        <v>22506</v>
      </c>
      <c r="G44" s="512">
        <v>20863</v>
      </c>
      <c r="H44" s="955">
        <v>21876</v>
      </c>
      <c r="I44" s="955">
        <v>23336</v>
      </c>
      <c r="J44" s="955">
        <v>20403</v>
      </c>
      <c r="K44" s="955">
        <v>17472</v>
      </c>
      <c r="L44" s="955">
        <v>17314</v>
      </c>
      <c r="M44" s="955">
        <v>16345</v>
      </c>
    </row>
    <row r="45" spans="2:13" ht="15" thickBot="1">
      <c r="B45" s="337" t="s">
        <v>10</v>
      </c>
      <c r="C45" s="954">
        <v>875</v>
      </c>
      <c r="D45" s="512">
        <v>536</v>
      </c>
      <c r="E45" s="512">
        <v>1831</v>
      </c>
      <c r="F45" s="512">
        <v>2045</v>
      </c>
      <c r="G45" s="512">
        <v>1505</v>
      </c>
      <c r="H45" s="955">
        <v>1433</v>
      </c>
      <c r="I45" s="955">
        <v>1171</v>
      </c>
      <c r="J45" s="955">
        <v>1498</v>
      </c>
      <c r="K45" s="955">
        <v>1550</v>
      </c>
      <c r="L45" s="955">
        <v>1574</v>
      </c>
      <c r="M45" s="955">
        <v>1095</v>
      </c>
    </row>
    <row r="46" spans="2:13" ht="15" thickBot="1">
      <c r="B46" s="337" t="s">
        <v>1620</v>
      </c>
      <c r="C46" s="954">
        <v>708</v>
      </c>
      <c r="D46" s="512">
        <v>759</v>
      </c>
      <c r="E46" s="512">
        <v>1091</v>
      </c>
      <c r="F46" s="512">
        <v>1431</v>
      </c>
      <c r="G46" s="512">
        <v>1252</v>
      </c>
      <c r="H46" s="955">
        <v>1191</v>
      </c>
      <c r="I46" s="955">
        <v>1095</v>
      </c>
      <c r="J46" s="955">
        <v>891</v>
      </c>
      <c r="K46" s="955">
        <v>1676</v>
      </c>
      <c r="L46" s="955">
        <v>563</v>
      </c>
      <c r="M46" s="955">
        <v>585</v>
      </c>
    </row>
    <row r="47" spans="2:13" ht="15" thickBot="1">
      <c r="B47" s="337" t="s">
        <v>12</v>
      </c>
      <c r="C47" s="954">
        <v>814</v>
      </c>
      <c r="D47" s="512">
        <v>599</v>
      </c>
      <c r="E47" s="512">
        <v>641</v>
      </c>
      <c r="F47" s="512">
        <v>626</v>
      </c>
      <c r="G47" s="512">
        <v>496</v>
      </c>
      <c r="H47" s="955">
        <v>734</v>
      </c>
      <c r="I47" s="955">
        <v>527</v>
      </c>
      <c r="J47" s="955">
        <v>293</v>
      </c>
      <c r="K47" s="955">
        <v>842</v>
      </c>
      <c r="L47" s="955">
        <v>579</v>
      </c>
      <c r="M47" s="955">
        <v>725</v>
      </c>
    </row>
    <row r="48" spans="2:13" ht="15" thickBot="1">
      <c r="B48" s="337" t="s">
        <v>25</v>
      </c>
      <c r="C48" s="954">
        <v>1163</v>
      </c>
      <c r="D48" s="512">
        <v>1495</v>
      </c>
      <c r="E48" s="512">
        <v>889</v>
      </c>
      <c r="F48" s="512">
        <v>427</v>
      </c>
      <c r="G48" s="512">
        <v>450</v>
      </c>
      <c r="H48" s="955">
        <v>866</v>
      </c>
      <c r="I48" s="955">
        <v>857</v>
      </c>
      <c r="J48" s="955">
        <v>314</v>
      </c>
      <c r="K48" s="955">
        <v>225</v>
      </c>
      <c r="L48" s="955">
        <v>585</v>
      </c>
      <c r="M48" s="955">
        <v>943</v>
      </c>
    </row>
    <row r="49" spans="2:13" ht="15" thickBot="1">
      <c r="B49" s="762" t="s">
        <v>24</v>
      </c>
      <c r="C49" s="954">
        <v>427</v>
      </c>
      <c r="D49" s="512">
        <v>288</v>
      </c>
      <c r="E49" s="512">
        <v>395</v>
      </c>
      <c r="F49" s="512">
        <v>1640</v>
      </c>
      <c r="G49" s="512">
        <v>436</v>
      </c>
      <c r="H49" s="955">
        <v>398</v>
      </c>
      <c r="I49" s="955">
        <v>543</v>
      </c>
      <c r="J49" s="955">
        <v>533</v>
      </c>
      <c r="K49" s="955">
        <v>642</v>
      </c>
      <c r="L49" s="955">
        <v>488</v>
      </c>
      <c r="M49" s="955">
        <v>184</v>
      </c>
    </row>
    <row r="50" spans="2:13">
      <c r="B50" s="154" t="s">
        <v>129</v>
      </c>
      <c r="C50" s="956">
        <v>1706</v>
      </c>
      <c r="D50" s="513">
        <v>1558</v>
      </c>
      <c r="E50" s="513">
        <f>E51-E49-E48-E47-E46-E45-E44</f>
        <v>2174</v>
      </c>
      <c r="F50" s="513">
        <f>F51-F49-F48-F47-F46-F45-F44</f>
        <v>1728</v>
      </c>
      <c r="G50" s="513">
        <v>1271</v>
      </c>
      <c r="H50" s="309">
        <v>2420</v>
      </c>
      <c r="I50" s="309">
        <v>2540</v>
      </c>
      <c r="J50" s="309">
        <v>2809</v>
      </c>
      <c r="K50" s="309">
        <v>1962</v>
      </c>
      <c r="L50" s="309">
        <v>3933</v>
      </c>
      <c r="M50" s="309">
        <v>912</v>
      </c>
    </row>
    <row r="51" spans="2:13">
      <c r="B51" s="478" t="s">
        <v>52</v>
      </c>
      <c r="C51" s="478">
        <v>32170</v>
      </c>
      <c r="D51" s="478">
        <v>32102</v>
      </c>
      <c r="E51" s="478">
        <v>29291</v>
      </c>
      <c r="F51" s="272">
        <v>30403</v>
      </c>
      <c r="G51" s="272">
        <v>26273</v>
      </c>
      <c r="H51" s="961">
        <v>28917</v>
      </c>
      <c r="I51" s="272">
        <v>30068</v>
      </c>
      <c r="J51" s="272">
        <v>26738</v>
      </c>
      <c r="K51" s="272">
        <v>24372</v>
      </c>
      <c r="L51" s="272">
        <v>25033</v>
      </c>
      <c r="M51" s="272">
        <v>20785</v>
      </c>
    </row>
    <row r="52" spans="2:13">
      <c r="B52" s="1288" t="s">
        <v>2019</v>
      </c>
      <c r="C52" s="957"/>
      <c r="D52" s="957"/>
      <c r="E52" s="957"/>
      <c r="F52" s="957"/>
      <c r="G52" s="957"/>
      <c r="H52" s="957"/>
      <c r="I52" s="957"/>
      <c r="J52" s="957"/>
      <c r="K52" s="957"/>
      <c r="L52" s="957"/>
      <c r="M52" s="957"/>
    </row>
    <row r="53" spans="2:13">
      <c r="B53" s="10"/>
      <c r="C53" s="10"/>
      <c r="D53" s="10"/>
      <c r="E53" s="10"/>
      <c r="F53" s="10"/>
      <c r="G53" s="10"/>
    </row>
  </sheetData>
  <phoneticPr fontId="138" type="noConversion"/>
  <hyperlinks>
    <hyperlink ref="B29" r:id="rId1" display="Source: ITC Trade map, 2018  " xr:uid="{00000000-0004-0000-2500-000000000000}"/>
    <hyperlink ref="B38" r:id="rId2" display="Source: ITC Trade map, 2019" xr:uid="{00000000-0004-0000-2500-000001000000}"/>
    <hyperlink ref="B52" r:id="rId3" display="Source: ITC Trade map, 2013" xr:uid="{00000000-0004-0000-2500-000002000000}"/>
    <hyperlink ref="B14" r:id="rId4" display="Source:  ITC Trade map, 2020 " xr:uid="{00000000-0004-0000-2500-000003000000}"/>
  </hyperlinks>
  <pageMargins left="0.7" right="0.7" top="0.78740157499999996" bottom="0.78740157499999996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00B050"/>
  </sheetPr>
  <dimension ref="B2:P142"/>
  <sheetViews>
    <sheetView topLeftCell="A40" zoomScale="85" zoomScaleNormal="85" workbookViewId="0">
      <selection activeCell="O54" sqref="O54"/>
    </sheetView>
  </sheetViews>
  <sheetFormatPr defaultColWidth="11.44140625" defaultRowHeight="14.4"/>
  <cols>
    <col min="1" max="1" width="11.44140625" style="873"/>
    <col min="2" max="2" width="31.109375" style="873" customWidth="1"/>
    <col min="3" max="3" width="11.44140625" style="873"/>
    <col min="4" max="4" width="13.88671875" style="873" customWidth="1"/>
    <col min="5" max="5" width="11.88671875" style="873" customWidth="1"/>
    <col min="6" max="6" width="11.44140625" style="873"/>
    <col min="7" max="7" width="18.33203125" style="873" customWidth="1"/>
    <col min="8" max="14" width="11.44140625" style="873"/>
    <col min="15" max="15" width="56.6640625" style="873" customWidth="1"/>
    <col min="16" max="17" width="11.44140625" style="873"/>
    <col min="18" max="18" width="20.44140625" style="873" bestFit="1" customWidth="1"/>
    <col min="19" max="19" width="11.44140625" style="873"/>
    <col min="20" max="20" width="37.88671875" style="873" customWidth="1"/>
    <col min="21" max="16384" width="11.44140625" style="873"/>
  </cols>
  <sheetData>
    <row r="2" spans="2:4" ht="15.6">
      <c r="B2" s="872" t="s">
        <v>1600</v>
      </c>
    </row>
    <row r="3" spans="2:4" ht="15.6">
      <c r="B3" s="872"/>
    </row>
    <row r="4" spans="2:4" ht="15.6">
      <c r="B4" s="872"/>
    </row>
    <row r="5" spans="2:4" ht="15.6">
      <c r="B5" s="83" t="s">
        <v>2417</v>
      </c>
    </row>
    <row r="6" spans="2:4" ht="15.6">
      <c r="B6" s="872"/>
    </row>
    <row r="7" spans="2:4" ht="15" customHeight="1">
      <c r="B7" s="13" t="s">
        <v>530</v>
      </c>
      <c r="C7" s="874">
        <v>69.2</v>
      </c>
      <c r="D7" s="875" t="s">
        <v>531</v>
      </c>
    </row>
    <row r="8" spans="2:4">
      <c r="B8" s="13" t="s">
        <v>532</v>
      </c>
      <c r="C8" s="874" t="s">
        <v>1601</v>
      </c>
      <c r="D8" s="875" t="s">
        <v>533</v>
      </c>
    </row>
    <row r="9" spans="2:4">
      <c r="B9" s="242" t="s">
        <v>534</v>
      </c>
      <c r="C9" s="877">
        <v>279</v>
      </c>
      <c r="D9" s="878" t="s">
        <v>535</v>
      </c>
    </row>
    <row r="10" spans="2:4" ht="15" customHeight="1">
      <c r="B10" s="245"/>
      <c r="C10" s="879"/>
      <c r="D10" s="875"/>
    </row>
    <row r="11" spans="2:4" ht="15.6">
      <c r="B11" s="13" t="s">
        <v>536</v>
      </c>
      <c r="C11" s="880">
        <v>3365</v>
      </c>
      <c r="D11" s="875" t="s">
        <v>537</v>
      </c>
    </row>
    <row r="12" spans="2:4" ht="15" customHeight="1">
      <c r="B12" s="245" t="s">
        <v>538</v>
      </c>
      <c r="C12" s="879">
        <v>48610</v>
      </c>
      <c r="D12" s="875" t="s">
        <v>539</v>
      </c>
    </row>
    <row r="13" spans="2:4">
      <c r="B13" s="13" t="s">
        <v>540</v>
      </c>
      <c r="C13" s="880">
        <v>4160</v>
      </c>
      <c r="D13" s="875" t="s">
        <v>537</v>
      </c>
    </row>
    <row r="14" spans="2:4">
      <c r="B14" s="245" t="s">
        <v>541</v>
      </c>
      <c r="C14" s="879"/>
      <c r="D14" s="875"/>
    </row>
    <row r="15" spans="2:4">
      <c r="B15" s="245" t="s">
        <v>538</v>
      </c>
      <c r="C15" s="879">
        <v>60090</v>
      </c>
      <c r="D15" s="875" t="s">
        <v>542</v>
      </c>
    </row>
    <row r="16" spans="2:4" ht="15" customHeight="1">
      <c r="B16" s="248"/>
      <c r="C16" s="881"/>
      <c r="D16" s="878"/>
    </row>
    <row r="17" spans="2:14">
      <c r="B17" s="13" t="s">
        <v>543</v>
      </c>
      <c r="C17" s="874">
        <v>1.1000000000000001</v>
      </c>
      <c r="D17" s="875" t="s">
        <v>544</v>
      </c>
    </row>
    <row r="18" spans="2:14" ht="26.4">
      <c r="B18" s="13"/>
      <c r="C18" s="874">
        <v>0</v>
      </c>
      <c r="D18" s="875" t="s">
        <v>546</v>
      </c>
    </row>
    <row r="19" spans="2:14">
      <c r="B19" s="882"/>
      <c r="C19" s="879"/>
      <c r="D19" s="879"/>
      <c r="E19" s="875"/>
    </row>
    <row r="20" spans="2:14">
      <c r="B20" s="883" t="s">
        <v>712</v>
      </c>
      <c r="C20" s="884"/>
      <c r="D20" s="884"/>
      <c r="E20" s="884"/>
    </row>
    <row r="21" spans="2:14">
      <c r="B21" s="885" t="s">
        <v>2419</v>
      </c>
      <c r="C21" s="886"/>
      <c r="D21" s="886"/>
      <c r="E21" s="887"/>
    </row>
    <row r="24" spans="2:14" ht="15.6">
      <c r="B24" s="86" t="s">
        <v>56</v>
      </c>
    </row>
    <row r="25" spans="2:14">
      <c r="B25" s="918" t="s">
        <v>1602</v>
      </c>
    </row>
    <row r="26" spans="2:14">
      <c r="B26" s="85"/>
      <c r="C26" s="115" t="s">
        <v>2064</v>
      </c>
      <c r="D26" s="115">
        <v>2023</v>
      </c>
      <c r="E26" s="115">
        <v>2022</v>
      </c>
      <c r="F26" s="115">
        <v>2021</v>
      </c>
      <c r="G26" s="115">
        <v>2020</v>
      </c>
      <c r="H26" s="115">
        <v>2019</v>
      </c>
      <c r="I26" s="115">
        <v>2018</v>
      </c>
      <c r="J26" s="115">
        <v>2017</v>
      </c>
      <c r="K26" s="115">
        <v>2016</v>
      </c>
      <c r="L26" s="115">
        <v>2015</v>
      </c>
      <c r="M26" s="115">
        <v>2014</v>
      </c>
      <c r="N26" s="94"/>
    </row>
    <row r="27" spans="2:14" ht="15" thickBot="1">
      <c r="B27" s="919" t="s">
        <v>61</v>
      </c>
      <c r="C27" s="1143">
        <v>397</v>
      </c>
      <c r="D27" s="1140">
        <v>330</v>
      </c>
      <c r="E27" s="1259">
        <v>332</v>
      </c>
      <c r="F27" s="1259">
        <v>379</v>
      </c>
      <c r="G27" s="920">
        <v>329.78301922600002</v>
      </c>
      <c r="H27" s="920">
        <v>369.40359397399999</v>
      </c>
      <c r="I27" s="921">
        <v>347.0102859726461</v>
      </c>
      <c r="J27" s="921">
        <v>339</v>
      </c>
      <c r="K27" s="921">
        <v>371</v>
      </c>
      <c r="L27" s="921">
        <v>0</v>
      </c>
      <c r="M27" s="921">
        <v>0</v>
      </c>
      <c r="N27" s="737"/>
    </row>
    <row r="28" spans="2:14" ht="15" thickBot="1">
      <c r="B28" s="919" t="s">
        <v>1603</v>
      </c>
      <c r="C28" s="1143">
        <v>203</v>
      </c>
      <c r="D28" s="1140">
        <v>179</v>
      </c>
      <c r="E28" s="1259">
        <v>192</v>
      </c>
      <c r="F28" s="1259">
        <v>150</v>
      </c>
      <c r="G28" s="920">
        <v>147.99449979400001</v>
      </c>
      <c r="H28" s="920">
        <v>145.66387775000001</v>
      </c>
      <c r="I28" s="921">
        <v>137.89985305753362</v>
      </c>
      <c r="J28" s="921">
        <v>138</v>
      </c>
      <c r="K28" s="921">
        <v>113.48383160463698</v>
      </c>
      <c r="L28" s="921">
        <v>0</v>
      </c>
      <c r="M28" s="921">
        <v>0</v>
      </c>
      <c r="N28" s="737"/>
    </row>
    <row r="29" spans="2:14" ht="15" thickBot="1">
      <c r="B29" s="919" t="s">
        <v>1604</v>
      </c>
      <c r="C29" s="1143">
        <v>1372</v>
      </c>
      <c r="D29" s="1140">
        <v>1177</v>
      </c>
      <c r="E29" s="1259">
        <v>1269</v>
      </c>
      <c r="F29" s="1259">
        <v>1292</v>
      </c>
      <c r="G29" s="920">
        <v>1115.2026480540001</v>
      </c>
      <c r="H29" s="920">
        <v>1094.2270496579999</v>
      </c>
      <c r="I29" s="921">
        <v>1078.3316378433367</v>
      </c>
      <c r="J29" s="921">
        <v>1064</v>
      </c>
      <c r="K29" s="921">
        <v>1088</v>
      </c>
      <c r="L29" s="921">
        <v>0</v>
      </c>
      <c r="M29" s="921">
        <v>0</v>
      </c>
      <c r="N29" s="737"/>
    </row>
    <row r="30" spans="2:14" ht="15" thickBot="1">
      <c r="B30" s="919" t="s">
        <v>1605</v>
      </c>
      <c r="C30" s="89" t="s">
        <v>59</v>
      </c>
      <c r="D30" s="59" t="s">
        <v>59</v>
      </c>
      <c r="E30" s="59" t="s">
        <v>59</v>
      </c>
      <c r="F30" s="59" t="s">
        <v>59</v>
      </c>
      <c r="G30" s="59" t="s">
        <v>59</v>
      </c>
      <c r="H30" s="59" t="s">
        <v>59</v>
      </c>
      <c r="I30" s="59" t="s">
        <v>59</v>
      </c>
      <c r="J30" s="59" t="s">
        <v>59</v>
      </c>
      <c r="K30" s="59" t="s">
        <v>59</v>
      </c>
      <c r="L30" s="921">
        <v>61.997134354678714</v>
      </c>
      <c r="M30" s="921">
        <v>52.102716784518044</v>
      </c>
      <c r="N30" s="737"/>
    </row>
    <row r="31" spans="2:14" ht="15" thickBot="1">
      <c r="B31" s="919" t="s">
        <v>1606</v>
      </c>
      <c r="C31" s="89" t="s">
        <v>59</v>
      </c>
      <c r="D31" s="59" t="s">
        <v>59</v>
      </c>
      <c r="E31" s="59" t="s">
        <v>59</v>
      </c>
      <c r="F31" s="59" t="s">
        <v>59</v>
      </c>
      <c r="G31" s="59" t="s">
        <v>59</v>
      </c>
      <c r="H31" s="59" t="s">
        <v>59</v>
      </c>
      <c r="I31" s="59" t="s">
        <v>59</v>
      </c>
      <c r="J31" s="59" t="s">
        <v>59</v>
      </c>
      <c r="K31" s="59" t="s">
        <v>59</v>
      </c>
      <c r="L31" s="921">
        <v>1078.7501377714095</v>
      </c>
      <c r="M31" s="921">
        <v>987.47053715419918</v>
      </c>
      <c r="N31" s="737"/>
    </row>
    <row r="32" spans="2:14" ht="15" thickBot="1">
      <c r="B32" s="919" t="s">
        <v>1607</v>
      </c>
      <c r="C32" s="89" t="s">
        <v>59</v>
      </c>
      <c r="D32" s="59" t="s">
        <v>59</v>
      </c>
      <c r="E32" s="59" t="s">
        <v>59</v>
      </c>
      <c r="F32" s="59" t="s">
        <v>59</v>
      </c>
      <c r="G32" s="59" t="s">
        <v>59</v>
      </c>
      <c r="H32" s="59" t="s">
        <v>59</v>
      </c>
      <c r="I32" s="59" t="s">
        <v>59</v>
      </c>
      <c r="J32" s="59" t="s">
        <v>59</v>
      </c>
      <c r="K32" s="59" t="s">
        <v>59</v>
      </c>
      <c r="L32" s="921">
        <v>442.24622506337482</v>
      </c>
      <c r="M32" s="921">
        <v>406.8974072695695</v>
      </c>
      <c r="N32" s="737"/>
    </row>
    <row r="33" spans="2:14" ht="15" thickBot="1">
      <c r="B33" s="942" t="s">
        <v>1608</v>
      </c>
      <c r="C33" s="1144">
        <v>1972</v>
      </c>
      <c r="D33" s="1144">
        <v>1686</v>
      </c>
      <c r="E33" s="863">
        <v>1794</v>
      </c>
      <c r="F33" s="863">
        <v>1822</v>
      </c>
      <c r="G33" s="863">
        <v>1592.9801670740001</v>
      </c>
      <c r="H33" s="863">
        <v>1609.2945213820001</v>
      </c>
      <c r="I33" s="735">
        <v>1563.2417768735163</v>
      </c>
      <c r="J33" s="735">
        <v>1541</v>
      </c>
      <c r="K33" s="735">
        <v>1574</v>
      </c>
      <c r="L33" s="735">
        <v>1582.9934971894631</v>
      </c>
      <c r="M33" s="735">
        <v>1446.4706612082869</v>
      </c>
      <c r="N33" s="756"/>
    </row>
    <row r="34" spans="2:14">
      <c r="B34" s="922" t="s">
        <v>1609</v>
      </c>
      <c r="C34" s="923"/>
      <c r="D34" s="923"/>
      <c r="E34" s="923"/>
      <c r="F34" s="923"/>
      <c r="G34" s="923"/>
      <c r="H34" s="923"/>
      <c r="I34" s="923"/>
      <c r="J34" s="923"/>
    </row>
    <row r="35" spans="2:14">
      <c r="B35" s="898" t="s">
        <v>2407</v>
      </c>
      <c r="C35" s="923"/>
      <c r="D35" s="923"/>
      <c r="E35" s="923"/>
      <c r="F35" s="923"/>
      <c r="G35" s="923"/>
      <c r="H35" s="923"/>
      <c r="I35" s="923"/>
    </row>
    <row r="36" spans="2:14">
      <c r="B36" s="887" t="s">
        <v>2408</v>
      </c>
      <c r="C36" s="923"/>
      <c r="D36" s="923"/>
      <c r="E36" s="923"/>
      <c r="F36" s="923"/>
      <c r="G36" s="923"/>
      <c r="H36" s="923"/>
      <c r="I36" s="923"/>
    </row>
    <row r="38" spans="2:14" ht="15.6">
      <c r="B38" s="83" t="s">
        <v>1610</v>
      </c>
      <c r="C38" s="924"/>
      <c r="D38" s="924"/>
      <c r="E38" s="924"/>
      <c r="F38" s="924"/>
      <c r="G38" s="924"/>
      <c r="H38" s="924"/>
      <c r="I38" s="924"/>
      <c r="J38" s="924"/>
      <c r="K38" s="924"/>
      <c r="L38" s="924"/>
      <c r="M38" s="924"/>
    </row>
    <row r="39" spans="2:14">
      <c r="B39" s="925" t="s">
        <v>46</v>
      </c>
    </row>
    <row r="40" spans="2:14">
      <c r="B40" s="85"/>
      <c r="C40" s="115">
        <v>2021</v>
      </c>
      <c r="D40" s="115">
        <v>2020</v>
      </c>
      <c r="E40" s="85">
        <v>2019</v>
      </c>
      <c r="F40" s="85">
        <v>2018</v>
      </c>
      <c r="G40" s="85">
        <v>2017</v>
      </c>
      <c r="H40" s="85">
        <v>2016</v>
      </c>
      <c r="I40" s="85">
        <v>2015</v>
      </c>
      <c r="J40" s="85">
        <v>2014</v>
      </c>
      <c r="K40" s="85">
        <v>2013</v>
      </c>
      <c r="L40" s="85">
        <v>2012</v>
      </c>
      <c r="M40" s="85">
        <v>2011</v>
      </c>
    </row>
    <row r="41" spans="2:14" ht="15" thickBot="1">
      <c r="B41" s="891" t="s">
        <v>51</v>
      </c>
      <c r="C41" s="862"/>
      <c r="D41" s="920"/>
      <c r="E41" s="920"/>
      <c r="F41" s="920"/>
      <c r="G41" s="920"/>
      <c r="H41" s="920"/>
      <c r="I41" s="920"/>
      <c r="J41" s="920"/>
      <c r="K41" s="920"/>
      <c r="L41" s="920"/>
      <c r="M41" s="920"/>
    </row>
    <row r="42" spans="2:14" ht="15" thickBot="1">
      <c r="B42" s="889" t="s">
        <v>1611</v>
      </c>
      <c r="C42" s="862">
        <v>7100</v>
      </c>
      <c r="D42" s="920">
        <v>6300</v>
      </c>
      <c r="E42" s="920">
        <v>6600</v>
      </c>
      <c r="F42" s="920">
        <v>6700</v>
      </c>
      <c r="G42" s="920">
        <v>7100</v>
      </c>
      <c r="H42" s="920">
        <v>5800</v>
      </c>
      <c r="I42" s="920">
        <v>6800</v>
      </c>
      <c r="J42" s="920">
        <v>5900</v>
      </c>
      <c r="K42" s="920">
        <v>5800</v>
      </c>
      <c r="L42" s="920">
        <v>5900</v>
      </c>
      <c r="M42" s="920">
        <v>4900</v>
      </c>
    </row>
    <row r="43" spans="2:14" ht="15" thickBot="1">
      <c r="B43" s="889" t="s">
        <v>1612</v>
      </c>
      <c r="C43" s="862">
        <v>5100</v>
      </c>
      <c r="D43" s="920">
        <v>4900</v>
      </c>
      <c r="E43" s="920">
        <v>4500</v>
      </c>
      <c r="F43" s="920">
        <v>4600</v>
      </c>
      <c r="G43" s="920">
        <v>5000</v>
      </c>
      <c r="H43" s="920">
        <v>5300</v>
      </c>
      <c r="I43" s="920">
        <v>5500</v>
      </c>
      <c r="J43" s="920">
        <v>5800</v>
      </c>
      <c r="K43" s="920">
        <v>5800</v>
      </c>
      <c r="L43" s="920">
        <v>6100</v>
      </c>
      <c r="M43" s="920">
        <v>6000</v>
      </c>
    </row>
    <row r="44" spans="2:14" ht="15" thickBot="1">
      <c r="B44" s="891" t="s">
        <v>50</v>
      </c>
      <c r="C44" s="862"/>
      <c r="D44" s="920"/>
      <c r="E44" s="920"/>
      <c r="F44" s="920"/>
      <c r="G44" s="920"/>
      <c r="H44" s="920"/>
      <c r="I44" s="920"/>
      <c r="J44" s="920"/>
      <c r="K44" s="920"/>
      <c r="L44" s="920"/>
      <c r="M44" s="920"/>
    </row>
    <row r="45" spans="2:14">
      <c r="B45" s="896" t="s">
        <v>1613</v>
      </c>
      <c r="C45" s="864">
        <v>473</v>
      </c>
      <c r="D45" s="926">
        <v>450</v>
      </c>
      <c r="E45" s="926">
        <v>476</v>
      </c>
      <c r="F45" s="926">
        <v>465</v>
      </c>
      <c r="G45" s="926">
        <v>546</v>
      </c>
      <c r="H45" s="926">
        <v>522</v>
      </c>
      <c r="I45" s="926">
        <v>529</v>
      </c>
      <c r="J45" s="926">
        <v>568</v>
      </c>
      <c r="K45" s="926">
        <v>594</v>
      </c>
      <c r="L45" s="926">
        <v>601</v>
      </c>
      <c r="M45" s="926">
        <v>606</v>
      </c>
    </row>
    <row r="46" spans="2:14">
      <c r="B46" s="85" t="s">
        <v>3</v>
      </c>
      <c r="C46" s="111">
        <v>12673</v>
      </c>
      <c r="D46" s="111">
        <v>11650</v>
      </c>
      <c r="E46" s="111">
        <v>11576</v>
      </c>
      <c r="F46" s="111">
        <v>11765</v>
      </c>
      <c r="G46" s="111">
        <v>12646</v>
      </c>
      <c r="H46" s="111">
        <v>11622</v>
      </c>
      <c r="I46" s="111">
        <v>12829</v>
      </c>
      <c r="J46" s="111">
        <v>12268</v>
      </c>
      <c r="K46" s="111">
        <v>12194</v>
      </c>
      <c r="L46" s="111">
        <v>12601</v>
      </c>
      <c r="M46" s="111">
        <v>11506</v>
      </c>
    </row>
    <row r="47" spans="2:14">
      <c r="B47" s="892" t="s">
        <v>1637</v>
      </c>
    </row>
    <row r="48" spans="2:14">
      <c r="B48" s="927"/>
    </row>
    <row r="49" spans="2:13">
      <c r="B49" s="927"/>
    </row>
    <row r="50" spans="2:13" ht="15.6">
      <c r="B50" s="83" t="s">
        <v>1614</v>
      </c>
      <c r="C50" s="888"/>
      <c r="D50" s="888"/>
      <c r="E50" s="888"/>
      <c r="F50" s="888"/>
      <c r="G50" s="888"/>
      <c r="H50" s="888"/>
      <c r="I50" s="888"/>
      <c r="J50" s="888"/>
    </row>
    <row r="51" spans="2:13">
      <c r="B51" s="888" t="s">
        <v>46</v>
      </c>
      <c r="C51" s="888"/>
      <c r="D51" s="888"/>
      <c r="E51" s="888"/>
      <c r="F51" s="888"/>
      <c r="G51" s="888"/>
      <c r="H51" s="888"/>
      <c r="I51" s="888"/>
      <c r="J51" s="888"/>
    </row>
    <row r="52" spans="2:13">
      <c r="B52" s="85"/>
      <c r="C52" s="85">
        <v>2024</v>
      </c>
      <c r="D52" s="85">
        <v>2023</v>
      </c>
      <c r="E52" s="85">
        <v>2022</v>
      </c>
      <c r="F52" s="228">
        <v>2021</v>
      </c>
      <c r="G52" s="228">
        <v>2020</v>
      </c>
      <c r="H52" s="228">
        <v>2019</v>
      </c>
      <c r="I52" s="228">
        <v>2018</v>
      </c>
      <c r="J52" s="228">
        <v>2017</v>
      </c>
      <c r="K52" s="228">
        <v>2016</v>
      </c>
      <c r="L52" s="228">
        <v>2015</v>
      </c>
      <c r="M52" s="228">
        <v>2014</v>
      </c>
    </row>
    <row r="53" spans="2:13" ht="15" thickBot="1">
      <c r="B53" s="891" t="s">
        <v>51</v>
      </c>
      <c r="C53" s="2"/>
      <c r="D53" s="49"/>
      <c r="E53" s="891"/>
      <c r="F53" s="1326"/>
      <c r="G53" s="928"/>
      <c r="H53" s="891"/>
      <c r="I53" s="891"/>
      <c r="J53" s="891"/>
      <c r="K53" s="891"/>
      <c r="L53" s="891"/>
      <c r="M53" s="891"/>
    </row>
    <row r="54" spans="2:13" ht="15" thickBot="1">
      <c r="B54" s="889" t="s">
        <v>1611</v>
      </c>
      <c r="C54" s="1200">
        <v>6614</v>
      </c>
      <c r="D54" s="95">
        <v>4912</v>
      </c>
      <c r="E54" s="1328">
        <v>5100</v>
      </c>
      <c r="F54" s="1259">
        <v>6430</v>
      </c>
      <c r="G54" s="920">
        <v>5603</v>
      </c>
      <c r="H54" s="921">
        <v>5876</v>
      </c>
      <c r="I54" s="921">
        <v>6008</v>
      </c>
      <c r="J54" s="921">
        <v>6355</v>
      </c>
      <c r="K54" s="921">
        <v>5063</v>
      </c>
      <c r="L54" s="921">
        <v>6182</v>
      </c>
      <c r="M54" s="921">
        <v>5253</v>
      </c>
    </row>
    <row r="55" spans="2:13" ht="15" thickBot="1">
      <c r="B55" s="889" t="s">
        <v>1612</v>
      </c>
      <c r="C55" s="1200">
        <v>2010</v>
      </c>
      <c r="D55" s="95">
        <v>2009</v>
      </c>
      <c r="E55" s="1328">
        <v>1992</v>
      </c>
      <c r="F55" s="1259">
        <v>2008</v>
      </c>
      <c r="G55" s="920">
        <v>2008</v>
      </c>
      <c r="H55" s="921">
        <v>2051</v>
      </c>
      <c r="I55" s="921">
        <v>2190</v>
      </c>
      <c r="J55" s="921">
        <v>2320</v>
      </c>
      <c r="K55" s="921">
        <v>2440</v>
      </c>
      <c r="L55" s="921">
        <v>2833</v>
      </c>
      <c r="M55" s="921">
        <v>2747</v>
      </c>
    </row>
    <row r="56" spans="2:13" ht="15" thickBot="1">
      <c r="B56" s="889" t="s">
        <v>1616</v>
      </c>
      <c r="C56" s="1200">
        <v>433</v>
      </c>
      <c r="D56" s="95">
        <v>296</v>
      </c>
      <c r="E56" s="1328">
        <v>278</v>
      </c>
      <c r="F56" s="1259">
        <v>329</v>
      </c>
      <c r="G56" s="920">
        <v>395</v>
      </c>
      <c r="H56" s="921">
        <v>405</v>
      </c>
      <c r="I56" s="921">
        <v>400</v>
      </c>
      <c r="J56" s="921">
        <v>327</v>
      </c>
      <c r="K56" s="921">
        <v>358</v>
      </c>
      <c r="L56" s="921">
        <v>354</v>
      </c>
      <c r="M56" s="921">
        <v>398</v>
      </c>
    </row>
    <row r="57" spans="2:13" ht="15" thickBot="1">
      <c r="B57" s="889" t="s">
        <v>242</v>
      </c>
      <c r="C57" s="1200">
        <v>1523</v>
      </c>
      <c r="D57" s="95">
        <v>1581</v>
      </c>
      <c r="E57" s="1328">
        <v>1363</v>
      </c>
      <c r="F57" s="1259">
        <v>1828</v>
      </c>
      <c r="G57" s="920">
        <v>1619</v>
      </c>
      <c r="H57" s="921">
        <v>1570</v>
      </c>
      <c r="I57" s="921">
        <v>1581</v>
      </c>
      <c r="J57" s="921">
        <v>1980</v>
      </c>
      <c r="K57" s="921">
        <v>2137</v>
      </c>
      <c r="L57" s="921">
        <v>1897</v>
      </c>
      <c r="M57" s="921">
        <v>1890</v>
      </c>
    </row>
    <row r="58" spans="2:13" ht="15" thickBot="1">
      <c r="B58" s="891" t="s">
        <v>50</v>
      </c>
      <c r="C58" s="942"/>
      <c r="D58" s="61"/>
      <c r="E58" s="1329"/>
      <c r="F58" s="1259"/>
      <c r="G58" s="920"/>
      <c r="H58" s="921"/>
      <c r="I58" s="921"/>
      <c r="J58" s="921"/>
      <c r="K58" s="921"/>
      <c r="L58" s="921"/>
      <c r="M58" s="921"/>
    </row>
    <row r="59" spans="2:13">
      <c r="B59" s="896" t="s">
        <v>1613</v>
      </c>
      <c r="C59" s="1331">
        <v>396</v>
      </c>
      <c r="D59" s="129">
        <v>412</v>
      </c>
      <c r="E59" s="1330">
        <v>431</v>
      </c>
      <c r="F59" s="1327">
        <v>418</v>
      </c>
      <c r="G59" s="926">
        <v>408</v>
      </c>
      <c r="H59" s="929">
        <v>409</v>
      </c>
      <c r="I59" s="929">
        <v>405</v>
      </c>
      <c r="J59" s="929">
        <v>478</v>
      </c>
      <c r="K59" s="929">
        <v>471</v>
      </c>
      <c r="L59" s="929">
        <v>474</v>
      </c>
      <c r="M59" s="929">
        <v>520</v>
      </c>
    </row>
    <row r="60" spans="2:13">
      <c r="B60" s="85" t="s">
        <v>3</v>
      </c>
      <c r="C60" s="85">
        <v>10976</v>
      </c>
      <c r="D60" s="85">
        <v>9210</v>
      </c>
      <c r="E60" s="1244">
        <v>9164</v>
      </c>
      <c r="F60" s="111">
        <v>11013</v>
      </c>
      <c r="G60" s="111">
        <v>10033</v>
      </c>
      <c r="H60" s="111">
        <v>10311</v>
      </c>
      <c r="I60" s="111">
        <v>10584</v>
      </c>
      <c r="J60" s="111">
        <v>11460</v>
      </c>
      <c r="K60" s="111">
        <v>10469</v>
      </c>
      <c r="L60" s="111">
        <v>11740</v>
      </c>
      <c r="M60" s="111">
        <v>10808</v>
      </c>
    </row>
    <row r="61" spans="2:13">
      <c r="B61" s="930" t="s">
        <v>1617</v>
      </c>
      <c r="C61" s="931"/>
      <c r="D61" s="931"/>
      <c r="E61" s="931"/>
      <c r="F61" s="931"/>
      <c r="G61" s="931"/>
      <c r="H61" s="931"/>
      <c r="I61" s="931"/>
      <c r="J61" s="932"/>
      <c r="K61" s="932"/>
      <c r="L61" s="932"/>
      <c r="M61" s="932"/>
    </row>
    <row r="62" spans="2:13">
      <c r="B62" s="892" t="s">
        <v>2065</v>
      </c>
      <c r="C62" s="930"/>
      <c r="D62" s="930"/>
      <c r="E62" s="930"/>
      <c r="F62" s="930"/>
      <c r="G62" s="930"/>
      <c r="H62" s="930"/>
      <c r="I62" s="930"/>
      <c r="J62" s="930"/>
    </row>
    <row r="63" spans="2:13">
      <c r="B63" s="892"/>
      <c r="C63" s="930"/>
      <c r="D63" s="930"/>
      <c r="E63" s="930"/>
      <c r="F63" s="930"/>
      <c r="G63" s="930"/>
      <c r="H63" s="930"/>
      <c r="I63" s="930"/>
      <c r="J63" s="930"/>
    </row>
    <row r="64" spans="2:13">
      <c r="B64" s="898"/>
      <c r="C64" s="933"/>
      <c r="D64" s="933"/>
      <c r="E64" s="933"/>
      <c r="F64" s="933"/>
      <c r="G64" s="933"/>
      <c r="H64" s="933"/>
      <c r="I64" s="933"/>
      <c r="J64" s="933"/>
    </row>
    <row r="65" spans="2:16" ht="17.399999999999999">
      <c r="B65" s="934" t="s">
        <v>1618</v>
      </c>
    </row>
    <row r="67" spans="2:16" ht="15.6">
      <c r="B67" s="900" t="s">
        <v>587</v>
      </c>
    </row>
    <row r="68" spans="2:16">
      <c r="B68" s="935" t="s">
        <v>582</v>
      </c>
    </row>
    <row r="69" spans="2:16">
      <c r="B69" s="141"/>
      <c r="C69" s="141">
        <v>2024</v>
      </c>
      <c r="D69" s="141">
        <v>2023</v>
      </c>
      <c r="E69" s="141">
        <v>2022</v>
      </c>
      <c r="F69" s="141">
        <v>2021</v>
      </c>
      <c r="G69" s="141">
        <v>2020</v>
      </c>
      <c r="H69" s="141">
        <v>2019</v>
      </c>
      <c r="I69" s="141">
        <v>2018</v>
      </c>
      <c r="J69" s="141">
        <v>2017</v>
      </c>
      <c r="K69" s="141">
        <v>2016</v>
      </c>
      <c r="L69" s="141">
        <v>2015</v>
      </c>
      <c r="M69" s="141">
        <v>2014</v>
      </c>
      <c r="N69" s="870"/>
      <c r="O69" s="1111"/>
      <c r="P69" s="912"/>
    </row>
    <row r="70" spans="2:16" ht="15" thickBot="1">
      <c r="B70" s="902" t="s">
        <v>585</v>
      </c>
      <c r="C70" s="1150">
        <v>19826</v>
      </c>
      <c r="D70" s="1363">
        <v>20045</v>
      </c>
      <c r="E70" s="44">
        <v>18459</v>
      </c>
      <c r="F70" s="44">
        <v>27783</v>
      </c>
      <c r="G70" s="890">
        <v>36841</v>
      </c>
      <c r="H70" s="890">
        <v>39583</v>
      </c>
      <c r="I70" s="890">
        <v>36835</v>
      </c>
      <c r="J70" s="890">
        <v>41215</v>
      </c>
      <c r="K70" s="890">
        <v>31909</v>
      </c>
      <c r="L70" s="890">
        <v>35625</v>
      </c>
      <c r="M70" s="890">
        <v>32931</v>
      </c>
      <c r="N70" s="39"/>
      <c r="O70" s="895"/>
      <c r="P70" s="912"/>
    </row>
    <row r="71" spans="2:16" ht="15" thickBot="1">
      <c r="B71" s="906" t="s">
        <v>583</v>
      </c>
      <c r="C71" s="1152">
        <v>26592</v>
      </c>
      <c r="D71" s="1376">
        <v>23473</v>
      </c>
      <c r="E71" s="109">
        <v>26548</v>
      </c>
      <c r="F71" s="109">
        <v>24987</v>
      </c>
      <c r="G71" s="897">
        <v>28904</v>
      </c>
      <c r="H71" s="897">
        <v>37159</v>
      </c>
      <c r="I71" s="936">
        <v>43934</v>
      </c>
      <c r="J71" s="936">
        <v>45310</v>
      </c>
      <c r="K71" s="936">
        <v>35316</v>
      </c>
      <c r="L71" s="936">
        <v>31388</v>
      </c>
      <c r="M71" s="936">
        <v>29605</v>
      </c>
      <c r="N71" s="309"/>
      <c r="O71" s="936"/>
      <c r="P71" s="912"/>
    </row>
    <row r="72" spans="2:16" ht="15" thickBot="1">
      <c r="B72" s="910" t="s">
        <v>584</v>
      </c>
      <c r="C72" s="1151">
        <v>8486</v>
      </c>
      <c r="D72" s="1375">
        <v>8692</v>
      </c>
      <c r="E72" s="75">
        <v>10019</v>
      </c>
      <c r="F72" s="75">
        <v>8572</v>
      </c>
      <c r="G72" s="937">
        <v>7634</v>
      </c>
      <c r="H72" s="937">
        <v>8741</v>
      </c>
      <c r="I72" s="937">
        <v>8085</v>
      </c>
      <c r="J72" s="937">
        <v>6749</v>
      </c>
      <c r="K72" s="937">
        <v>6496</v>
      </c>
      <c r="L72" s="937">
        <v>7475</v>
      </c>
      <c r="M72" s="937">
        <v>8782</v>
      </c>
      <c r="N72" s="39"/>
      <c r="O72" s="895"/>
      <c r="P72" s="912"/>
    </row>
    <row r="73" spans="2:16">
      <c r="B73" s="906" t="s">
        <v>1315</v>
      </c>
      <c r="C73" s="1152">
        <v>1187</v>
      </c>
      <c r="D73" s="1376">
        <v>1642</v>
      </c>
      <c r="E73" s="57">
        <v>935</v>
      </c>
      <c r="F73" s="57">
        <v>1215</v>
      </c>
      <c r="G73" s="897">
        <v>903</v>
      </c>
      <c r="H73" s="897">
        <v>793</v>
      </c>
      <c r="I73" s="897">
        <v>1738</v>
      </c>
      <c r="J73" s="897">
        <v>1029</v>
      </c>
      <c r="K73" s="897">
        <v>6751</v>
      </c>
      <c r="L73" s="897">
        <v>1279</v>
      </c>
      <c r="M73" s="897">
        <v>1244</v>
      </c>
      <c r="N73" s="39"/>
      <c r="O73" s="895"/>
    </row>
    <row r="74" spans="2:16">
      <c r="B74" s="865" t="s">
        <v>52</v>
      </c>
      <c r="C74" s="478">
        <f>C73+C72+C71+C70</f>
        <v>56091</v>
      </c>
      <c r="D74" s="478">
        <f>D73+D72+D71+D70</f>
        <v>53852</v>
      </c>
      <c r="E74" s="478">
        <f>E73+E72+E71+E70</f>
        <v>55961</v>
      </c>
      <c r="F74" s="478">
        <v>64560</v>
      </c>
      <c r="G74" s="478">
        <v>77007</v>
      </c>
      <c r="H74" s="478">
        <v>86276</v>
      </c>
      <c r="I74" s="478">
        <v>90592</v>
      </c>
      <c r="J74" s="478">
        <v>94303</v>
      </c>
      <c r="K74" s="478">
        <v>80472</v>
      </c>
      <c r="L74" s="478">
        <v>75767</v>
      </c>
      <c r="M74" s="478">
        <v>72562</v>
      </c>
      <c r="N74" s="869"/>
      <c r="O74" s="1112"/>
    </row>
    <row r="75" spans="2:16">
      <c r="B75" s="911" t="s">
        <v>2019</v>
      </c>
    </row>
    <row r="76" spans="2:16">
      <c r="B76" s="938"/>
      <c r="C76" s="913"/>
      <c r="D76" s="913"/>
      <c r="E76" s="913"/>
      <c r="F76" s="913"/>
      <c r="G76" s="913"/>
      <c r="H76" s="913"/>
      <c r="I76" s="913"/>
      <c r="J76" s="913"/>
      <c r="K76" s="913"/>
      <c r="L76" s="913"/>
      <c r="M76" s="913"/>
      <c r="N76" s="913"/>
    </row>
    <row r="77" spans="2:16">
      <c r="B77" s="912"/>
    </row>
    <row r="78" spans="2:16" ht="15.6">
      <c r="B78" s="900" t="s">
        <v>581</v>
      </c>
    </row>
    <row r="79" spans="2:16">
      <c r="B79" s="935" t="s">
        <v>582</v>
      </c>
    </row>
    <row r="80" spans="2:16">
      <c r="B80" s="141"/>
      <c r="C80" s="141">
        <v>2024</v>
      </c>
      <c r="D80" s="141">
        <v>2023</v>
      </c>
      <c r="E80" s="141">
        <v>2022</v>
      </c>
      <c r="F80" s="141">
        <v>2021</v>
      </c>
      <c r="G80" s="141">
        <v>2020</v>
      </c>
      <c r="H80" s="141">
        <v>2019</v>
      </c>
      <c r="I80" s="141">
        <v>2018</v>
      </c>
      <c r="J80" s="141">
        <v>2017</v>
      </c>
      <c r="K80" s="141">
        <v>2016</v>
      </c>
      <c r="L80" s="141">
        <v>2015</v>
      </c>
      <c r="M80" s="141">
        <v>2014</v>
      </c>
      <c r="N80" s="870"/>
      <c r="O80" s="1111"/>
    </row>
    <row r="81" spans="2:15" ht="15" thickBot="1">
      <c r="B81" s="902" t="s">
        <v>583</v>
      </c>
      <c r="C81" s="1150">
        <v>750154</v>
      </c>
      <c r="D81" s="1363">
        <v>702759</v>
      </c>
      <c r="E81" s="44">
        <v>837428</v>
      </c>
      <c r="F81" s="44">
        <v>714307</v>
      </c>
      <c r="G81" s="890">
        <v>693592</v>
      </c>
      <c r="H81" s="890">
        <v>754481</v>
      </c>
      <c r="I81" s="890">
        <v>869392</v>
      </c>
      <c r="J81" s="890">
        <v>850052</v>
      </c>
      <c r="K81" s="890">
        <v>913180</v>
      </c>
      <c r="L81" s="890">
        <v>915799</v>
      </c>
      <c r="M81" s="890">
        <v>857007</v>
      </c>
      <c r="N81" s="39"/>
      <c r="O81" s="895"/>
    </row>
    <row r="82" spans="2:15" ht="15" thickBot="1">
      <c r="B82" s="902" t="s">
        <v>585</v>
      </c>
      <c r="C82" s="1150">
        <v>793676</v>
      </c>
      <c r="D82" s="1363">
        <v>793480</v>
      </c>
      <c r="E82" s="44">
        <v>784232</v>
      </c>
      <c r="F82" s="44">
        <v>407826</v>
      </c>
      <c r="G82" s="890">
        <v>486935</v>
      </c>
      <c r="H82" s="890">
        <v>444284</v>
      </c>
      <c r="I82" s="890">
        <v>435375</v>
      </c>
      <c r="J82" s="890">
        <v>384298</v>
      </c>
      <c r="K82" s="890">
        <v>386518</v>
      </c>
      <c r="L82" s="890">
        <v>398908</v>
      </c>
      <c r="M82" s="890">
        <v>379718</v>
      </c>
      <c r="N82" s="39"/>
      <c r="O82" s="895"/>
    </row>
    <row r="83" spans="2:15" ht="15" thickBot="1">
      <c r="B83" s="906" t="s">
        <v>584</v>
      </c>
      <c r="C83" s="1152">
        <v>100718</v>
      </c>
      <c r="D83" s="1376">
        <v>101136</v>
      </c>
      <c r="E83" s="109">
        <v>111881</v>
      </c>
      <c r="F83" s="109">
        <v>71102</v>
      </c>
      <c r="G83" s="897">
        <v>89667</v>
      </c>
      <c r="H83" s="897">
        <v>82668</v>
      </c>
      <c r="I83" s="937">
        <v>93175</v>
      </c>
      <c r="J83" s="937">
        <v>87812</v>
      </c>
      <c r="K83" s="937">
        <v>91802</v>
      </c>
      <c r="L83" s="937">
        <v>97524</v>
      </c>
      <c r="M83" s="937">
        <v>101031</v>
      </c>
      <c r="N83" s="39"/>
      <c r="O83" s="895"/>
    </row>
    <row r="84" spans="2:15">
      <c r="B84" s="906" t="s">
        <v>1315</v>
      </c>
      <c r="C84" s="1152">
        <v>71823</v>
      </c>
      <c r="D84" s="1376">
        <v>82138</v>
      </c>
      <c r="E84" s="109">
        <v>82138</v>
      </c>
      <c r="F84" s="109">
        <v>69851</v>
      </c>
      <c r="G84" s="897">
        <v>54059</v>
      </c>
      <c r="H84" s="897">
        <v>55506</v>
      </c>
      <c r="I84" s="936">
        <v>60959</v>
      </c>
      <c r="J84" s="936">
        <v>44755</v>
      </c>
      <c r="K84" s="936">
        <v>46885</v>
      </c>
      <c r="L84" s="936">
        <v>57576</v>
      </c>
      <c r="M84" s="936">
        <v>45868</v>
      </c>
      <c r="N84" s="309"/>
      <c r="O84" s="936"/>
    </row>
    <row r="85" spans="2:15">
      <c r="B85" s="865" t="s">
        <v>3</v>
      </c>
      <c r="C85" s="866">
        <f>C84+C83+C82+C81</f>
        <v>1716371</v>
      </c>
      <c r="D85" s="866">
        <f>D84+D83+D82+D81</f>
        <v>1679513</v>
      </c>
      <c r="E85" s="866">
        <f>E84+E83+E82+E81</f>
        <v>1815679</v>
      </c>
      <c r="F85" s="866">
        <v>1463874</v>
      </c>
      <c r="G85" s="866">
        <v>1384249</v>
      </c>
      <c r="H85" s="866">
        <v>1336939</v>
      </c>
      <c r="I85" s="866">
        <v>1458901</v>
      </c>
      <c r="J85" s="866">
        <v>1366917</v>
      </c>
      <c r="K85" s="866">
        <v>1438385</v>
      </c>
      <c r="L85" s="866">
        <v>1469807</v>
      </c>
      <c r="M85" s="866">
        <v>1383624</v>
      </c>
      <c r="N85" s="1197"/>
      <c r="O85" s="1113"/>
    </row>
    <row r="86" spans="2:15">
      <c r="B86" s="892" t="s">
        <v>2020</v>
      </c>
    </row>
    <row r="87" spans="2:15">
      <c r="C87" s="913"/>
      <c r="D87" s="913"/>
      <c r="E87" s="913"/>
      <c r="F87" s="913"/>
      <c r="G87" s="913"/>
      <c r="H87" s="913"/>
      <c r="I87" s="913"/>
      <c r="J87" s="913"/>
      <c r="K87" s="913"/>
      <c r="L87" s="913"/>
      <c r="M87" s="913"/>
    </row>
    <row r="88" spans="2:15">
      <c r="B88" s="935"/>
      <c r="C88" s="943"/>
      <c r="D88" s="940"/>
      <c r="E88" s="941"/>
      <c r="F88" s="941"/>
      <c r="G88" s="941"/>
      <c r="H88" s="941"/>
      <c r="I88" s="941"/>
      <c r="J88" s="941"/>
      <c r="K88" s="941"/>
      <c r="L88" s="941"/>
      <c r="M88" s="941"/>
    </row>
    <row r="89" spans="2:15">
      <c r="B89" s="935"/>
      <c r="C89" s="943"/>
      <c r="D89" s="940"/>
      <c r="E89" s="940"/>
      <c r="F89" s="940"/>
      <c r="G89" s="940"/>
      <c r="H89" s="940"/>
      <c r="I89" s="940"/>
      <c r="J89" s="940"/>
      <c r="K89" s="940"/>
      <c r="L89" s="940"/>
      <c r="M89" s="940"/>
    </row>
    <row r="90" spans="2:15">
      <c r="I90" s="940"/>
      <c r="J90" s="940"/>
      <c r="K90" s="940"/>
      <c r="L90" s="940"/>
      <c r="M90" s="940"/>
    </row>
    <row r="91" spans="2:15" ht="17.399999999999999">
      <c r="B91" s="286" t="s">
        <v>1636</v>
      </c>
      <c r="C91"/>
      <c r="D91"/>
      <c r="E91"/>
      <c r="F91"/>
      <c r="G91"/>
      <c r="I91" s="940"/>
      <c r="J91" s="940"/>
      <c r="K91" s="940"/>
      <c r="L91" s="940"/>
      <c r="M91" s="940"/>
    </row>
    <row r="92" spans="2:15">
      <c r="B92"/>
      <c r="C92"/>
      <c r="D92"/>
      <c r="E92"/>
      <c r="F92"/>
      <c r="G92"/>
      <c r="I92" s="940"/>
      <c r="J92" s="940"/>
      <c r="K92" s="940"/>
      <c r="L92" s="940"/>
      <c r="M92" s="940"/>
    </row>
    <row r="93" spans="2:15">
      <c r="B93" s="413" t="s">
        <v>2350</v>
      </c>
      <c r="C93" s="414"/>
      <c r="D93" s="414"/>
      <c r="E93" s="414"/>
      <c r="F93" s="414"/>
      <c r="G93" s="415"/>
      <c r="I93" s="940"/>
      <c r="J93" s="940"/>
      <c r="K93" s="940"/>
      <c r="L93" s="940"/>
      <c r="M93" s="940"/>
    </row>
    <row r="94" spans="2:15" ht="75" customHeight="1">
      <c r="B94" s="416" t="s">
        <v>1633</v>
      </c>
      <c r="C94" s="416"/>
      <c r="D94" s="439">
        <v>26589.113321628007</v>
      </c>
      <c r="E94" s="418" t="s">
        <v>1634</v>
      </c>
      <c r="F94" s="440">
        <v>20273.998050293005</v>
      </c>
      <c r="G94" s="418" t="s">
        <v>2374</v>
      </c>
      <c r="I94" s="940"/>
      <c r="J94" s="940"/>
      <c r="K94" s="940"/>
      <c r="L94" s="940"/>
      <c r="M94" s="940"/>
    </row>
    <row r="95" spans="2:15" ht="22.8">
      <c r="B95" s="419"/>
      <c r="C95" s="419"/>
      <c r="D95" s="437"/>
      <c r="E95" s="418" t="s">
        <v>1635</v>
      </c>
      <c r="F95" s="440">
        <v>6315.1152713350002</v>
      </c>
      <c r="G95" s="418" t="s">
        <v>2375</v>
      </c>
      <c r="I95" s="940"/>
      <c r="J95" s="940"/>
      <c r="K95" s="940"/>
      <c r="L95" s="940"/>
      <c r="M95" s="940"/>
      <c r="N95" s="909"/>
    </row>
    <row r="96" spans="2:15" ht="100.5" customHeight="1">
      <c r="B96" s="871" t="s">
        <v>780</v>
      </c>
      <c r="C96" s="871"/>
      <c r="D96" s="439">
        <v>8953.3060995169963</v>
      </c>
      <c r="E96" s="418" t="s">
        <v>781</v>
      </c>
      <c r="F96" s="440">
        <v>6235.7904579490014</v>
      </c>
      <c r="G96" s="418" t="s">
        <v>2376</v>
      </c>
      <c r="I96" s="940"/>
      <c r="J96" s="940"/>
      <c r="K96" s="940"/>
      <c r="L96" s="940"/>
      <c r="M96" s="940"/>
    </row>
    <row r="97" spans="2:13" ht="34.200000000000003">
      <c r="B97" s="422"/>
      <c r="C97" s="422"/>
      <c r="D97" s="440"/>
      <c r="E97" s="418" t="s">
        <v>918</v>
      </c>
      <c r="F97" s="440">
        <v>2426.2067866920002</v>
      </c>
      <c r="G97" s="418" t="s">
        <v>2377</v>
      </c>
    </row>
    <row r="98" spans="2:13" ht="45.6">
      <c r="B98" s="724" t="s">
        <v>786</v>
      </c>
      <c r="C98" s="416"/>
      <c r="D98" s="439">
        <v>8485.2391465919973</v>
      </c>
      <c r="E98" s="418" t="s">
        <v>788</v>
      </c>
      <c r="F98" s="440">
        <v>8416.4964083590057</v>
      </c>
      <c r="G98" s="418" t="s">
        <v>2378</v>
      </c>
      <c r="H98" s="418"/>
      <c r="I98" s="935"/>
      <c r="J98" s="935"/>
      <c r="K98" s="935"/>
      <c r="L98" s="935"/>
      <c r="M98" s="935"/>
    </row>
    <row r="99" spans="2:13" ht="64.5" customHeight="1">
      <c r="B99" s="422"/>
      <c r="C99" s="422"/>
      <c r="D99" s="440"/>
      <c r="E99" s="418" t="s">
        <v>787</v>
      </c>
      <c r="F99" s="440">
        <v>68.742738232999997</v>
      </c>
      <c r="G99" s="418" t="s">
        <v>2379</v>
      </c>
      <c r="H99" s="418"/>
    </row>
    <row r="100" spans="2:13" ht="89.25" customHeight="1">
      <c r="B100" s="871" t="s">
        <v>783</v>
      </c>
      <c r="C100" s="871"/>
      <c r="D100" s="439">
        <v>1186.6948615599997</v>
      </c>
      <c r="E100" s="418" t="s">
        <v>785</v>
      </c>
      <c r="F100" s="440">
        <v>688.58256365599982</v>
      </c>
      <c r="G100" s="418" t="s">
        <v>2380</v>
      </c>
      <c r="I100" s="939"/>
      <c r="J100" s="939"/>
      <c r="K100" s="939"/>
      <c r="L100" s="939"/>
      <c r="M100" s="939"/>
    </row>
    <row r="101" spans="2:13" ht="66" customHeight="1">
      <c r="B101" s="416"/>
      <c r="C101" s="416"/>
      <c r="D101" s="439"/>
      <c r="E101" s="423" t="s">
        <v>784</v>
      </c>
      <c r="F101" s="439">
        <v>498.11229790400023</v>
      </c>
      <c r="G101" s="424" t="s">
        <v>2381</v>
      </c>
      <c r="I101" s="940"/>
      <c r="J101" s="940"/>
      <c r="K101" s="940"/>
      <c r="L101" s="940"/>
      <c r="M101" s="940"/>
    </row>
    <row r="102" spans="2:13">
      <c r="B102" s="425" t="s">
        <v>3</v>
      </c>
      <c r="C102" s="426"/>
      <c r="D102" s="509">
        <v>45214.353429297</v>
      </c>
      <c r="E102" s="428"/>
      <c r="F102" s="443"/>
      <c r="G102" s="428"/>
      <c r="I102" s="940"/>
      <c r="J102" s="940"/>
      <c r="K102" s="940"/>
      <c r="L102" s="940"/>
      <c r="M102" s="940"/>
    </row>
    <row r="103" spans="2:13" ht="15.6">
      <c r="B103" s="429"/>
      <c r="C103" s="429"/>
      <c r="D103" s="430"/>
      <c r="E103" s="431"/>
      <c r="F103" s="432"/>
      <c r="G103" s="433"/>
      <c r="I103" s="940"/>
      <c r="J103" s="940"/>
      <c r="K103" s="940"/>
      <c r="L103" s="940"/>
      <c r="M103" s="940"/>
    </row>
    <row r="104" spans="2:13">
      <c r="B104" s="413" t="s">
        <v>2351</v>
      </c>
      <c r="C104" s="414"/>
      <c r="D104" s="434"/>
      <c r="E104" s="414"/>
      <c r="F104" s="434"/>
      <c r="G104" s="435"/>
      <c r="I104" s="940"/>
      <c r="J104" s="940"/>
      <c r="K104" s="940"/>
      <c r="L104" s="940"/>
      <c r="M104" s="940"/>
    </row>
    <row r="105" spans="2:13" ht="94.5" customHeight="1">
      <c r="B105" s="416" t="s">
        <v>1633</v>
      </c>
      <c r="C105" s="416"/>
      <c r="D105" s="436">
        <v>750126.16107518796</v>
      </c>
      <c r="E105" s="418" t="s">
        <v>1634</v>
      </c>
      <c r="F105" s="437">
        <v>706825.59820230829</v>
      </c>
      <c r="G105" s="418" t="s">
        <v>2382</v>
      </c>
      <c r="I105" s="940"/>
      <c r="J105" s="940"/>
      <c r="K105" s="940"/>
      <c r="L105" s="940"/>
      <c r="M105" s="940"/>
    </row>
    <row r="106" spans="2:13" ht="22.8">
      <c r="B106" s="419"/>
      <c r="C106" s="419"/>
      <c r="D106" s="438"/>
      <c r="E106" s="418" t="s">
        <v>1635</v>
      </c>
      <c r="F106" s="437">
        <v>43300.562872879003</v>
      </c>
      <c r="G106" s="418" t="s">
        <v>2383</v>
      </c>
      <c r="I106" s="940"/>
      <c r="J106" s="940"/>
      <c r="K106" s="940"/>
      <c r="L106" s="940"/>
      <c r="M106" s="940"/>
    </row>
    <row r="107" spans="2:13" ht="93.75" customHeight="1">
      <c r="B107" s="871" t="s">
        <v>780</v>
      </c>
      <c r="C107" s="871"/>
      <c r="D107" s="439">
        <v>716201.37348388205</v>
      </c>
      <c r="E107" s="418" t="s">
        <v>781</v>
      </c>
      <c r="F107" s="421">
        <v>679636.79812661232</v>
      </c>
      <c r="G107" s="418" t="s">
        <v>2384</v>
      </c>
      <c r="I107" s="940"/>
      <c r="J107" s="940"/>
      <c r="K107" s="940"/>
      <c r="L107" s="940"/>
      <c r="M107" s="940"/>
    </row>
    <row r="108" spans="2:13" ht="34.200000000000003">
      <c r="B108" s="422"/>
      <c r="C108" s="422"/>
      <c r="D108" s="440"/>
      <c r="E108" s="418" t="s">
        <v>918</v>
      </c>
      <c r="F108" s="440">
        <v>24592.631625874004</v>
      </c>
      <c r="G108" s="418" t="s">
        <v>2385</v>
      </c>
      <c r="I108" s="940"/>
      <c r="J108" s="940"/>
      <c r="K108" s="940"/>
      <c r="L108" s="940"/>
      <c r="M108" s="940"/>
    </row>
    <row r="109" spans="2:13" ht="66" customHeight="1">
      <c r="B109" s="871" t="s">
        <v>786</v>
      </c>
      <c r="C109" s="871"/>
      <c r="D109" s="439">
        <v>100007.07708517504</v>
      </c>
      <c r="E109" s="418" t="s">
        <v>788</v>
      </c>
      <c r="F109" s="421">
        <v>83087.68780824203</v>
      </c>
      <c r="G109" s="418" t="s">
        <v>2386</v>
      </c>
      <c r="I109" s="940"/>
      <c r="J109" s="940"/>
      <c r="K109" s="940"/>
      <c r="L109" s="940"/>
      <c r="M109" s="940"/>
    </row>
    <row r="110" spans="2:13" ht="66" customHeight="1">
      <c r="B110" s="422"/>
      <c r="C110" s="422"/>
      <c r="D110" s="440"/>
      <c r="E110" s="418" t="s">
        <v>787</v>
      </c>
      <c r="F110" s="440">
        <v>16919.389276932998</v>
      </c>
      <c r="G110" s="418" t="s">
        <v>2387</v>
      </c>
      <c r="I110" s="940"/>
      <c r="J110" s="940"/>
      <c r="K110" s="940"/>
      <c r="L110" s="940"/>
      <c r="M110" s="940"/>
    </row>
    <row r="111" spans="2:13" ht="87" customHeight="1">
      <c r="B111" s="871" t="s">
        <v>783</v>
      </c>
      <c r="C111" s="871"/>
      <c r="D111" s="439">
        <v>71821.269299948937</v>
      </c>
      <c r="E111" s="418" t="s">
        <v>784</v>
      </c>
      <c r="F111" s="440">
        <v>56970.629059331004</v>
      </c>
      <c r="G111" s="418" t="s">
        <v>2388</v>
      </c>
    </row>
    <row r="112" spans="2:13" ht="70.5" customHeight="1">
      <c r="B112" s="416"/>
      <c r="C112" s="416"/>
      <c r="D112" s="439"/>
      <c r="E112" s="423" t="s">
        <v>785</v>
      </c>
      <c r="F112" s="439">
        <v>14850.640240617986</v>
      </c>
      <c r="G112" s="423" t="s">
        <v>2389</v>
      </c>
      <c r="I112" s="935"/>
      <c r="J112" s="935"/>
      <c r="K112" s="935"/>
      <c r="L112" s="935"/>
      <c r="M112" s="935"/>
    </row>
    <row r="113" spans="2:7">
      <c r="B113" s="425" t="s">
        <v>3</v>
      </c>
      <c r="C113" s="426"/>
      <c r="D113" s="509">
        <v>1638155.8809441943</v>
      </c>
      <c r="E113" s="428"/>
      <c r="F113" s="443"/>
      <c r="G113" s="428"/>
    </row>
    <row r="114" spans="2:7">
      <c r="B114"/>
      <c r="C114"/>
      <c r="D114"/>
      <c r="E114"/>
      <c r="F114"/>
      <c r="G114"/>
    </row>
    <row r="115" spans="2:7">
      <c r="B115" s="1311" t="s">
        <v>2352</v>
      </c>
      <c r="C115" s="444"/>
      <c r="D115" s="415"/>
      <c r="E115" s="415"/>
      <c r="F115" s="415"/>
      <c r="G115" s="415"/>
    </row>
    <row r="116" spans="2:7">
      <c r="B116" s="445" t="s">
        <v>13</v>
      </c>
      <c r="C116" s="510">
        <v>1121067.6048412097</v>
      </c>
      <c r="D116" s="445" t="s">
        <v>2354</v>
      </c>
      <c r="E116" s="445"/>
      <c r="F116" s="445"/>
      <c r="G116" s="445"/>
    </row>
    <row r="117" spans="2:7">
      <c r="B117" s="445" t="s">
        <v>24</v>
      </c>
      <c r="C117" s="510">
        <v>166830.87133013588</v>
      </c>
      <c r="D117" s="445" t="s">
        <v>2355</v>
      </c>
      <c r="E117" s="445"/>
      <c r="F117" s="445"/>
      <c r="G117" s="445"/>
    </row>
    <row r="118" spans="2:7">
      <c r="B118" s="445" t="s">
        <v>35</v>
      </c>
      <c r="C118" s="510">
        <v>76830.224117010002</v>
      </c>
      <c r="D118" s="445" t="s">
        <v>2356</v>
      </c>
      <c r="E118" s="445"/>
      <c r="F118" s="445"/>
      <c r="G118" s="445"/>
    </row>
    <row r="119" spans="2:7">
      <c r="B119" s="445" t="s">
        <v>9</v>
      </c>
      <c r="C119" s="510">
        <v>51588.531775299976</v>
      </c>
      <c r="D119" s="445" t="s">
        <v>2357</v>
      </c>
      <c r="E119" s="445"/>
      <c r="F119" s="445"/>
      <c r="G119" s="445"/>
    </row>
    <row r="120" spans="2:7">
      <c r="B120" s="445" t="s">
        <v>12</v>
      </c>
      <c r="C120" s="510">
        <v>43367.857500370003</v>
      </c>
      <c r="D120" s="445" t="s">
        <v>2358</v>
      </c>
      <c r="E120" s="445"/>
      <c r="F120" s="445"/>
      <c r="G120" s="445"/>
    </row>
    <row r="121" spans="2:7">
      <c r="B121" s="445" t="s">
        <v>6</v>
      </c>
      <c r="C121" s="510">
        <v>31501.778223682017</v>
      </c>
      <c r="D121" s="445" t="s">
        <v>2359</v>
      </c>
      <c r="E121" s="445"/>
      <c r="F121" s="445"/>
      <c r="G121" s="445"/>
    </row>
    <row r="122" spans="2:7">
      <c r="B122" s="445" t="s">
        <v>7</v>
      </c>
      <c r="C122" s="510">
        <v>19629.745865314002</v>
      </c>
      <c r="D122" s="445" t="s">
        <v>2360</v>
      </c>
      <c r="E122" s="445"/>
      <c r="F122" s="445"/>
      <c r="G122" s="445"/>
    </row>
    <row r="123" spans="2:7">
      <c r="B123" s="445" t="s">
        <v>11</v>
      </c>
      <c r="C123" s="510">
        <v>19535.839545312989</v>
      </c>
      <c r="D123" s="445" t="s">
        <v>2361</v>
      </c>
      <c r="E123" s="445"/>
      <c r="F123" s="445"/>
      <c r="G123" s="445"/>
    </row>
    <row r="124" spans="2:7">
      <c r="B124" s="445" t="s">
        <v>10</v>
      </c>
      <c r="C124" s="510">
        <v>16072.963823565997</v>
      </c>
      <c r="D124" s="445" t="s">
        <v>2362</v>
      </c>
      <c r="E124" s="445"/>
      <c r="F124" s="445"/>
      <c r="G124" s="445"/>
    </row>
    <row r="125" spans="2:7">
      <c r="B125" s="445" t="s">
        <v>17</v>
      </c>
      <c r="C125" s="510">
        <v>14263.232898681019</v>
      </c>
      <c r="D125" s="445" t="s">
        <v>2363</v>
      </c>
      <c r="E125" s="445"/>
      <c r="F125" s="445"/>
      <c r="G125" s="445"/>
    </row>
    <row r="126" spans="2:7">
      <c r="B126" s="290" t="s">
        <v>1623</v>
      </c>
      <c r="C126" s="490">
        <v>77485.89109987882</v>
      </c>
      <c r="D126" s="454"/>
      <c r="E126" s="454"/>
      <c r="F126" s="454"/>
      <c r="G126"/>
    </row>
    <row r="127" spans="2:7">
      <c r="B127" s="425" t="s">
        <v>3</v>
      </c>
      <c r="C127" s="441">
        <v>1638174.5410204602</v>
      </c>
      <c r="D127" s="442" t="s">
        <v>1619</v>
      </c>
      <c r="E127" s="442"/>
      <c r="F127" s="428"/>
      <c r="G127" s="428"/>
    </row>
    <row r="128" spans="2:7">
      <c r="B128"/>
      <c r="C128" s="456"/>
      <c r="D128"/>
      <c r="E128"/>
      <c r="F128"/>
      <c r="G128"/>
    </row>
    <row r="129" spans="2:7">
      <c r="B129" s="442" t="s">
        <v>2353</v>
      </c>
      <c r="C129" s="457"/>
      <c r="D129" s="415"/>
      <c r="E129" s="415"/>
      <c r="F129" s="415"/>
      <c r="G129" s="415"/>
    </row>
    <row r="130" spans="2:7">
      <c r="B130" s="445" t="s">
        <v>13</v>
      </c>
      <c r="C130" s="510">
        <v>23620.003203225002</v>
      </c>
      <c r="D130" s="445" t="s">
        <v>2364</v>
      </c>
      <c r="E130" s="445"/>
      <c r="F130" s="445"/>
      <c r="G130" s="445"/>
    </row>
    <row r="131" spans="2:7">
      <c r="B131" s="445" t="s">
        <v>33</v>
      </c>
      <c r="C131" s="510">
        <v>8001.3575487040007</v>
      </c>
      <c r="D131" s="445" t="s">
        <v>2365</v>
      </c>
      <c r="E131" s="445"/>
      <c r="F131" s="445"/>
      <c r="G131" s="445"/>
    </row>
    <row r="132" spans="2:7">
      <c r="B132" s="445" t="s">
        <v>11</v>
      </c>
      <c r="C132" s="510">
        <v>6271.4392591760025</v>
      </c>
      <c r="D132" s="445" t="s">
        <v>2366</v>
      </c>
      <c r="E132" s="445"/>
      <c r="F132" s="445"/>
      <c r="G132" s="445"/>
    </row>
    <row r="133" spans="2:7">
      <c r="B133" s="445" t="s">
        <v>32</v>
      </c>
      <c r="C133" s="510">
        <v>1323.6015661960002</v>
      </c>
      <c r="D133" s="445" t="s">
        <v>2367</v>
      </c>
      <c r="E133" s="445"/>
      <c r="F133" s="445"/>
      <c r="G133" s="445"/>
    </row>
    <row r="134" spans="2:7">
      <c r="B134" s="445" t="s">
        <v>9</v>
      </c>
      <c r="C134" s="510">
        <v>1205.1482336010001</v>
      </c>
      <c r="D134" s="445" t="s">
        <v>2368</v>
      </c>
      <c r="E134" s="445"/>
      <c r="F134" s="445"/>
      <c r="G134" s="445"/>
    </row>
    <row r="135" spans="2:7">
      <c r="B135" s="445" t="s">
        <v>17</v>
      </c>
      <c r="C135" s="510">
        <v>841.44092862699983</v>
      </c>
      <c r="D135" s="445" t="s">
        <v>2369</v>
      </c>
      <c r="E135" s="445"/>
      <c r="F135" s="445"/>
      <c r="G135" s="445"/>
    </row>
    <row r="136" spans="2:7">
      <c r="B136" s="445" t="s">
        <v>15</v>
      </c>
      <c r="C136" s="510">
        <v>755.148411108</v>
      </c>
      <c r="D136" s="445" t="s">
        <v>2370</v>
      </c>
      <c r="E136" s="445"/>
      <c r="F136" s="445"/>
      <c r="G136" s="445"/>
    </row>
    <row r="137" spans="2:7">
      <c r="B137" s="445" t="s">
        <v>836</v>
      </c>
      <c r="C137" s="510">
        <v>364.85776163200001</v>
      </c>
      <c r="D137" s="445" t="s">
        <v>2371</v>
      </c>
      <c r="E137" s="445"/>
      <c r="F137" s="445"/>
      <c r="G137" s="445"/>
    </row>
    <row r="138" spans="2:7">
      <c r="B138" s="445" t="s">
        <v>790</v>
      </c>
      <c r="C138" s="510">
        <v>277.59432483900002</v>
      </c>
      <c r="D138" s="445" t="s">
        <v>2372</v>
      </c>
      <c r="E138" s="445"/>
      <c r="F138" s="445"/>
      <c r="G138" s="445"/>
    </row>
    <row r="139" spans="2:7">
      <c r="B139" s="445" t="s">
        <v>10</v>
      </c>
      <c r="C139" s="510">
        <v>259.84729066399996</v>
      </c>
      <c r="D139" s="445" t="s">
        <v>2373</v>
      </c>
      <c r="E139" s="445"/>
      <c r="F139" s="445"/>
      <c r="G139" s="445"/>
    </row>
    <row r="140" spans="2:7">
      <c r="B140" s="290" t="s">
        <v>1623</v>
      </c>
      <c r="C140" s="490">
        <v>2293.9149015250077</v>
      </c>
      <c r="D140" s="454"/>
      <c r="E140" s="454"/>
      <c r="F140" s="454"/>
      <c r="G140"/>
    </row>
    <row r="141" spans="2:7">
      <c r="B141" s="425" t="s">
        <v>3</v>
      </c>
      <c r="C141" s="441">
        <v>45214.353429297022</v>
      </c>
      <c r="D141" s="442" t="s">
        <v>1621</v>
      </c>
      <c r="E141" s="442"/>
      <c r="F141" s="428"/>
      <c r="G141" s="428"/>
    </row>
    <row r="142" spans="2:7">
      <c r="B142" s="41" t="s">
        <v>2390</v>
      </c>
    </row>
  </sheetData>
  <phoneticPr fontId="138" type="noConversion"/>
  <hyperlinks>
    <hyperlink ref="B21" r:id="rId1" display="Source: Worldbank, 2017, World Development Indicators" xr:uid="{00000000-0004-0000-2600-000000000000}"/>
    <hyperlink ref="B86" r:id="rId2" display="Source: ITC Trade Map, 2018" xr:uid="{00000000-0004-0000-2600-000001000000}"/>
    <hyperlink ref="B75" r:id="rId3" display="Source: ITC Trade map, 2019" xr:uid="{00000000-0004-0000-2600-000002000000}"/>
    <hyperlink ref="B35" r:id="rId4" location="plants-and-flowers" display="Source:  Agriculture in the United Kingdom 2023, Department for Environment, Food and Rural Affairs, Plants and flowers (table 7.10a)" xr:uid="{00000000-0004-0000-2600-000003000000}"/>
    <hyperlink ref="B47" r:id="rId5" xr:uid="{00000000-0004-0000-2600-000004000000}"/>
    <hyperlink ref="B62" r:id="rId6" display="Source: Gov.UK: Farming statistics- final land use,  June survey 2021 - England" xr:uid="{00000000-0004-0000-2600-000005000000}"/>
    <hyperlink ref="B142" r:id="rId7" display="Source: UK Trade Info, Overseas trade by commodity code 2021" xr:uid="{00000000-0004-0000-2600-000006000000}"/>
  </hyperlinks>
  <pageMargins left="0.7" right="0.7" top="0.78740157499999996" bottom="0.78740157499999996" header="0.3" footer="0.3"/>
  <pageSetup paperSize="9" orientation="portrait" r:id="rId8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92D050"/>
  </sheetPr>
  <dimension ref="B2:AL509"/>
  <sheetViews>
    <sheetView tabSelected="1" topLeftCell="A297" zoomScale="90" zoomScaleNormal="90" workbookViewId="0">
      <selection activeCell="M257" sqref="M257"/>
    </sheetView>
  </sheetViews>
  <sheetFormatPr defaultColWidth="11.44140625" defaultRowHeight="14.4"/>
  <cols>
    <col min="2" max="2" width="28.88671875" customWidth="1"/>
    <col min="3" max="3" width="14.77734375" customWidth="1"/>
    <col min="4" max="5" width="11.33203125" customWidth="1"/>
    <col min="19" max="19" width="12.33203125" bestFit="1" customWidth="1"/>
  </cols>
  <sheetData>
    <row r="2" spans="2:4" ht="15.6">
      <c r="B2" s="83" t="s">
        <v>1451</v>
      </c>
    </row>
    <row r="3" spans="2:4" ht="15.6">
      <c r="B3" s="83"/>
    </row>
    <row r="4" spans="2:4" ht="15.6">
      <c r="B4" s="83"/>
    </row>
    <row r="5" spans="2:4" ht="15.6">
      <c r="B5" s="83" t="s">
        <v>2417</v>
      </c>
    </row>
    <row r="6" spans="2:4" ht="15.6">
      <c r="B6" s="83"/>
    </row>
    <row r="7" spans="2:4" ht="15" customHeight="1">
      <c r="B7" s="13" t="s">
        <v>530</v>
      </c>
      <c r="C7" s="239">
        <v>340</v>
      </c>
      <c r="D7" s="240" t="s">
        <v>531</v>
      </c>
    </row>
    <row r="8" spans="2:4">
      <c r="B8" s="13" t="s">
        <v>532</v>
      </c>
      <c r="C8" s="241">
        <v>9831500</v>
      </c>
      <c r="D8" s="240" t="s">
        <v>533</v>
      </c>
    </row>
    <row r="9" spans="2:4" ht="26.4">
      <c r="B9" s="242" t="s">
        <v>534</v>
      </c>
      <c r="C9" s="243">
        <v>37</v>
      </c>
      <c r="D9" s="244" t="s">
        <v>535</v>
      </c>
    </row>
    <row r="10" spans="2:4" ht="15" customHeight="1">
      <c r="B10" s="245"/>
      <c r="C10" s="246"/>
      <c r="D10" s="240"/>
    </row>
    <row r="11" spans="2:4" ht="15.6">
      <c r="B11" s="13" t="s">
        <v>536</v>
      </c>
      <c r="C11" s="247">
        <v>28455</v>
      </c>
      <c r="D11" s="240" t="s">
        <v>537</v>
      </c>
    </row>
    <row r="12" spans="2:4" ht="15" customHeight="1">
      <c r="B12" s="245" t="s">
        <v>538</v>
      </c>
      <c r="C12" s="246">
        <v>83660</v>
      </c>
      <c r="D12" s="240" t="s">
        <v>539</v>
      </c>
    </row>
    <row r="13" spans="2:4">
      <c r="B13" s="13" t="s">
        <v>540</v>
      </c>
      <c r="C13" s="247">
        <v>29243</v>
      </c>
      <c r="D13" s="240" t="s">
        <v>537</v>
      </c>
    </row>
    <row r="14" spans="2:4">
      <c r="B14" s="245" t="s">
        <v>541</v>
      </c>
      <c r="C14" s="246"/>
      <c r="D14" s="240"/>
    </row>
    <row r="15" spans="2:4" ht="26.4">
      <c r="B15" s="245" t="s">
        <v>538</v>
      </c>
      <c r="C15" s="246">
        <v>85980</v>
      </c>
      <c r="D15" s="240" t="s">
        <v>542</v>
      </c>
    </row>
    <row r="16" spans="2:4" ht="15" customHeight="1">
      <c r="B16" s="248"/>
      <c r="C16" s="249"/>
      <c r="D16" s="244"/>
    </row>
    <row r="17" spans="2:8">
      <c r="B17" s="13" t="s">
        <v>543</v>
      </c>
      <c r="C17" s="239">
        <v>2.8</v>
      </c>
      <c r="D17" s="240" t="s">
        <v>544</v>
      </c>
    </row>
    <row r="18" spans="2:8" ht="26.4">
      <c r="B18" s="13" t="s">
        <v>545</v>
      </c>
      <c r="C18" s="239">
        <v>1.8</v>
      </c>
      <c r="D18" s="240" t="s">
        <v>546</v>
      </c>
    </row>
    <row r="19" spans="2:8">
      <c r="B19" s="245"/>
      <c r="C19" s="246"/>
      <c r="D19" s="246"/>
      <c r="E19" s="240"/>
    </row>
    <row r="20" spans="2:8">
      <c r="B20" s="250" t="s">
        <v>595</v>
      </c>
      <c r="C20" s="251"/>
      <c r="D20" s="251"/>
      <c r="E20" s="251"/>
    </row>
    <row r="21" spans="2:8">
      <c r="B21" s="252" t="s">
        <v>2415</v>
      </c>
      <c r="C21" s="253"/>
      <c r="D21" s="253"/>
      <c r="E21" s="82"/>
    </row>
    <row r="24" spans="2:8" ht="15.6">
      <c r="B24" s="83" t="s">
        <v>1452</v>
      </c>
      <c r="C24" s="16"/>
      <c r="D24" s="16"/>
      <c r="E24" s="16"/>
      <c r="F24" s="16"/>
    </row>
    <row r="25" spans="2:8">
      <c r="B25" s="93" t="s">
        <v>54</v>
      </c>
    </row>
    <row r="26" spans="2:8">
      <c r="B26" s="194"/>
      <c r="C26" s="228">
        <v>2022</v>
      </c>
      <c r="D26" s="228">
        <v>2017</v>
      </c>
      <c r="E26" s="228">
        <v>2012</v>
      </c>
      <c r="F26" s="228">
        <v>2007</v>
      </c>
      <c r="G26" s="228">
        <v>2002</v>
      </c>
    </row>
    <row r="27" spans="2:8">
      <c r="B27" s="841" t="s">
        <v>66</v>
      </c>
      <c r="C27" s="841"/>
      <c r="D27" s="121"/>
      <c r="E27" s="102"/>
      <c r="F27" s="102"/>
      <c r="G27" s="102"/>
      <c r="H27" s="16"/>
    </row>
    <row r="28" spans="2:8">
      <c r="B28" s="85" t="s">
        <v>1453</v>
      </c>
      <c r="C28" s="85"/>
      <c r="D28" s="194"/>
      <c r="E28" s="194"/>
      <c r="F28" s="194"/>
      <c r="G28" s="194"/>
    </row>
    <row r="29" spans="2:8" ht="15" thickBot="1">
      <c r="B29" s="84" t="s">
        <v>1454</v>
      </c>
      <c r="C29" s="1140">
        <v>7785</v>
      </c>
      <c r="D29" s="46">
        <v>6150.0545690219997</v>
      </c>
      <c r="E29" s="46">
        <v>6427.6710350579997</v>
      </c>
      <c r="F29" s="46">
        <v>7546</v>
      </c>
      <c r="G29" s="46">
        <v>8964</v>
      </c>
    </row>
    <row r="30" spans="2:8" ht="15" thickBot="1">
      <c r="B30" s="84" t="s">
        <v>1455</v>
      </c>
      <c r="C30" s="1140">
        <v>12733</v>
      </c>
      <c r="D30" s="46">
        <v>9550.6539336000005</v>
      </c>
      <c r="E30" s="46">
        <v>9218.8091782800002</v>
      </c>
      <c r="F30" s="46">
        <v>10400</v>
      </c>
      <c r="G30" s="46">
        <v>13387</v>
      </c>
    </row>
    <row r="31" spans="2:8" ht="15" thickBot="1">
      <c r="B31" s="84" t="s">
        <v>1456</v>
      </c>
      <c r="C31" s="1140">
        <v>2280</v>
      </c>
      <c r="D31" s="46">
        <v>799.26023384999996</v>
      </c>
      <c r="E31" s="46">
        <v>1392.533906166</v>
      </c>
      <c r="F31" s="46">
        <v>1961</v>
      </c>
      <c r="G31" s="46"/>
    </row>
    <row r="32" spans="2:8" ht="15" thickBot="1">
      <c r="B32" s="84" t="s">
        <v>1457</v>
      </c>
      <c r="C32" s="1140">
        <v>2275</v>
      </c>
      <c r="D32" s="46">
        <v>1477.1138499000001</v>
      </c>
      <c r="E32" s="46">
        <v>2154.1580884979999</v>
      </c>
      <c r="F32" s="46">
        <v>1704</v>
      </c>
      <c r="G32" s="46"/>
    </row>
    <row r="33" spans="2:8">
      <c r="B33" s="152" t="s">
        <v>1458</v>
      </c>
      <c r="C33" s="1267">
        <v>1792</v>
      </c>
      <c r="D33" s="121">
        <v>2100.7391766659998</v>
      </c>
      <c r="E33" s="121">
        <v>2100.7391766659998</v>
      </c>
      <c r="F33" s="121">
        <v>321.32284844399999</v>
      </c>
      <c r="G33" s="121"/>
    </row>
    <row r="34" spans="2:8">
      <c r="B34" s="85" t="s">
        <v>1459</v>
      </c>
      <c r="C34" s="1244"/>
      <c r="D34" s="228"/>
      <c r="E34" s="228"/>
      <c r="F34" s="228"/>
      <c r="G34" s="228"/>
    </row>
    <row r="35" spans="2:8" ht="15" thickBot="1">
      <c r="B35" s="84" t="s">
        <v>356</v>
      </c>
      <c r="C35" s="1140">
        <v>159275</v>
      </c>
      <c r="D35" s="46">
        <v>136726.10952273</v>
      </c>
      <c r="E35" s="46">
        <v>163648.83639733199</v>
      </c>
      <c r="F35" s="46">
        <v>180692</v>
      </c>
      <c r="G35" s="46">
        <v>187626</v>
      </c>
    </row>
    <row r="36" spans="2:8" ht="15" thickBot="1">
      <c r="B36" s="84" t="s">
        <v>1460</v>
      </c>
      <c r="C36" s="1140">
        <v>560</v>
      </c>
      <c r="D36" s="46">
        <v>12</v>
      </c>
      <c r="E36" s="46">
        <v>15</v>
      </c>
      <c r="F36" s="46"/>
      <c r="G36" s="46"/>
      <c r="H36" s="16"/>
    </row>
    <row r="37" spans="2:8" ht="15" thickBot="1">
      <c r="B37" s="84" t="s">
        <v>1461</v>
      </c>
      <c r="C37" s="1140">
        <v>152254</v>
      </c>
      <c r="D37" s="46">
        <v>137412.46160202599</v>
      </c>
      <c r="E37" s="46">
        <v>130030.129862334</v>
      </c>
      <c r="F37" s="46">
        <v>165699</v>
      </c>
      <c r="G37" s="46">
        <v>156413.81135390399</v>
      </c>
    </row>
    <row r="38" spans="2:8">
      <c r="B38" s="152" t="s">
        <v>388</v>
      </c>
      <c r="C38" s="1267">
        <v>118188</v>
      </c>
      <c r="D38" s="121">
        <v>119448.733743612</v>
      </c>
      <c r="E38" s="121">
        <v>125197</v>
      </c>
      <c r="F38" s="121">
        <v>138960</v>
      </c>
      <c r="G38" s="121"/>
    </row>
    <row r="39" spans="2:8">
      <c r="B39" s="85" t="s">
        <v>1462</v>
      </c>
      <c r="C39" s="1244"/>
      <c r="D39" s="228"/>
      <c r="E39" s="228"/>
      <c r="F39" s="228"/>
      <c r="G39" s="228"/>
    </row>
    <row r="40" spans="2:8" ht="15" thickBot="1">
      <c r="B40" s="84" t="s">
        <v>1463</v>
      </c>
      <c r="C40" s="1140">
        <v>2290</v>
      </c>
      <c r="D40" s="46">
        <v>3461.7073622039998</v>
      </c>
      <c r="E40" s="46">
        <v>2508.6654124739998</v>
      </c>
      <c r="F40" s="46">
        <v>2452.4136795600002</v>
      </c>
      <c r="G40" s="46"/>
    </row>
    <row r="41" spans="2:8" ht="15" thickBot="1">
      <c r="B41" s="84" t="s">
        <v>1464</v>
      </c>
      <c r="C41" s="1140">
        <v>2688</v>
      </c>
      <c r="D41" s="46">
        <v>1668.5316172979999</v>
      </c>
      <c r="E41" s="46">
        <v>2294.58507642</v>
      </c>
      <c r="F41" s="46">
        <v>1654.772200614</v>
      </c>
      <c r="G41" s="46"/>
    </row>
    <row r="42" spans="2:8" ht="15" thickBot="1">
      <c r="B42" s="658" t="s">
        <v>1465</v>
      </c>
      <c r="C42" s="1252">
        <v>2573</v>
      </c>
      <c r="D42" s="188">
        <v>4583.5045106759999</v>
      </c>
      <c r="E42" s="188">
        <v>3383.6024380859999</v>
      </c>
      <c r="F42" s="188">
        <v>3929</v>
      </c>
      <c r="G42" s="188">
        <v>3341</v>
      </c>
    </row>
    <row r="43" spans="2:8">
      <c r="B43" s="841" t="s">
        <v>1466</v>
      </c>
      <c r="C43" s="1265"/>
      <c r="D43" s="121"/>
      <c r="E43" s="121"/>
      <c r="F43" s="121"/>
      <c r="G43" s="121"/>
    </row>
    <row r="44" spans="2:8">
      <c r="B44" s="85" t="s">
        <v>1453</v>
      </c>
      <c r="C44" s="1244"/>
      <c r="D44" s="194"/>
      <c r="E44" s="194"/>
      <c r="F44" s="194"/>
      <c r="G44" s="194"/>
    </row>
    <row r="45" spans="2:8" ht="15" thickBot="1">
      <c r="B45" s="84" t="s">
        <v>1454</v>
      </c>
      <c r="C45" s="1140">
        <v>3569</v>
      </c>
      <c r="D45" s="46">
        <v>3565.8271778728522</v>
      </c>
      <c r="E45" s="46">
        <v>3373.8332654626988</v>
      </c>
      <c r="F45" s="46">
        <v>3354</v>
      </c>
      <c r="G45" s="46">
        <v>3595</v>
      </c>
    </row>
    <row r="46" spans="2:8" ht="15" thickBot="1">
      <c r="B46" s="84" t="s">
        <v>1455</v>
      </c>
      <c r="C46" s="1140">
        <v>1469</v>
      </c>
      <c r="D46" s="46">
        <v>2122.2174009516975</v>
      </c>
      <c r="E46" s="46">
        <v>2184.5483122217474</v>
      </c>
      <c r="F46" s="46">
        <v>1620</v>
      </c>
      <c r="G46" s="46">
        <v>2140</v>
      </c>
    </row>
    <row r="47" spans="2:8" ht="15" thickBot="1">
      <c r="B47" s="84" t="s">
        <v>1456</v>
      </c>
      <c r="C47" s="1140">
        <v>1270</v>
      </c>
      <c r="D47" s="46">
        <v>914.6882812107317</v>
      </c>
      <c r="E47" s="46">
        <v>1150.5853958609205</v>
      </c>
      <c r="F47" s="46">
        <v>1299</v>
      </c>
      <c r="G47" s="46">
        <v>1702</v>
      </c>
    </row>
    <row r="48" spans="2:8" ht="15" thickBot="1">
      <c r="B48" s="84" t="s">
        <v>1457</v>
      </c>
      <c r="C48" s="1140">
        <v>1358</v>
      </c>
      <c r="D48" s="46">
        <v>1352.8918585710821</v>
      </c>
      <c r="E48" s="46">
        <v>1274.0810818610191</v>
      </c>
      <c r="F48" s="46">
        <v>1325</v>
      </c>
      <c r="G48" s="46">
        <v>1608</v>
      </c>
    </row>
    <row r="49" spans="2:8">
      <c r="B49" s="152" t="s">
        <v>1458</v>
      </c>
      <c r="C49" s="1267">
        <v>127</v>
      </c>
      <c r="D49" s="136">
        <v>121.99803581009759</v>
      </c>
      <c r="E49" s="121">
        <v>129.82152570010385</v>
      </c>
      <c r="F49" s="121">
        <v>19.035609470015224</v>
      </c>
      <c r="G49" s="121"/>
    </row>
    <row r="50" spans="2:8">
      <c r="B50" s="85" t="s">
        <v>1459</v>
      </c>
      <c r="C50" s="1244"/>
      <c r="D50" s="228"/>
      <c r="E50" s="228"/>
      <c r="F50" s="228"/>
      <c r="G50" s="228"/>
    </row>
    <row r="51" spans="2:8">
      <c r="B51" s="152" t="s">
        <v>356</v>
      </c>
      <c r="C51" s="1267">
        <v>3120</v>
      </c>
      <c r="D51" s="121">
        <v>2869.4916326422954</v>
      </c>
      <c r="E51" s="121">
        <v>2401.4543629519208</v>
      </c>
      <c r="F51" s="121">
        <v>2061</v>
      </c>
      <c r="G51" s="121">
        <v>1744</v>
      </c>
    </row>
    <row r="52" spans="2:8">
      <c r="B52" s="85" t="s">
        <v>1462</v>
      </c>
      <c r="C52" s="1244"/>
      <c r="D52" s="228"/>
      <c r="E52" s="228"/>
      <c r="F52" s="228"/>
      <c r="G52" s="228"/>
    </row>
    <row r="53" spans="2:8" ht="15" thickBot="1">
      <c r="B53" s="84" t="s">
        <v>1463</v>
      </c>
      <c r="C53" s="1140">
        <v>53</v>
      </c>
      <c r="D53" s="46">
        <v>15.633750820012507</v>
      </c>
      <c r="E53" s="46">
        <v>12.135954340009709</v>
      </c>
      <c r="F53" s="46">
        <v>19.618241110015692</v>
      </c>
      <c r="G53" s="46"/>
    </row>
    <row r="54" spans="2:8" ht="15" thickBot="1">
      <c r="B54" s="84" t="s">
        <v>1464</v>
      </c>
      <c r="C54" s="1140">
        <v>332</v>
      </c>
      <c r="D54" s="46">
        <v>345.34518727027626</v>
      </c>
      <c r="E54" s="46">
        <v>330.97995808026474</v>
      </c>
      <c r="F54" s="46">
        <v>278.47280376022275</v>
      </c>
      <c r="G54" s="46"/>
    </row>
    <row r="55" spans="2:8" ht="15" thickBot="1">
      <c r="B55" s="84" t="s">
        <v>1465</v>
      </c>
      <c r="C55" s="1140">
        <v>7</v>
      </c>
      <c r="D55" s="46">
        <v>4.6006216700036795</v>
      </c>
      <c r="E55" s="46">
        <v>3.4242289700027388</v>
      </c>
      <c r="F55" s="46">
        <v>3</v>
      </c>
      <c r="G55" s="46"/>
    </row>
    <row r="56" spans="2:8">
      <c r="B56" s="10" t="s">
        <v>1927</v>
      </c>
      <c r="H56" s="223"/>
    </row>
    <row r="57" spans="2:8">
      <c r="C57" s="134">
        <f>C49+C48+C47+C46+C45+C29+C30+C31+C32+C33</f>
        <v>34658</v>
      </c>
      <c r="D57" s="134">
        <f>D49+D48+D47+D46+D45+D29+D30+D31+D32+D33</f>
        <v>28155.44451745446</v>
      </c>
    </row>
    <row r="58" spans="2:8" ht="15.6">
      <c r="B58" s="83" t="s">
        <v>1452</v>
      </c>
    </row>
    <row r="59" spans="2:8">
      <c r="B59" s="842" t="s">
        <v>1467</v>
      </c>
    </row>
    <row r="60" spans="2:8">
      <c r="B60" s="194"/>
      <c r="C60" s="228">
        <v>2022</v>
      </c>
      <c r="D60" s="228">
        <v>2017</v>
      </c>
      <c r="E60" s="228">
        <v>2012</v>
      </c>
    </row>
    <row r="61" spans="2:8">
      <c r="B61" s="843" t="s">
        <v>66</v>
      </c>
      <c r="C61" s="843"/>
      <c r="D61" s="117"/>
    </row>
    <row r="62" spans="2:8">
      <c r="B62" s="85" t="s">
        <v>1453</v>
      </c>
      <c r="C62" s="85"/>
      <c r="D62" s="194"/>
      <c r="E62" s="194"/>
    </row>
    <row r="63" spans="2:8" ht="15" thickBot="1">
      <c r="B63" s="84" t="s">
        <v>1454</v>
      </c>
      <c r="C63" s="1140">
        <v>8786</v>
      </c>
      <c r="D63" s="46">
        <v>6814</v>
      </c>
      <c r="E63" s="46">
        <v>6948</v>
      </c>
    </row>
    <row r="64" spans="2:8" ht="15" thickBot="1">
      <c r="B64" s="84" t="s">
        <v>1455</v>
      </c>
      <c r="C64" s="1140">
        <v>9540</v>
      </c>
      <c r="D64" s="46">
        <v>5809</v>
      </c>
      <c r="E64" s="46">
        <v>4981</v>
      </c>
    </row>
    <row r="65" spans="2:8" ht="15" thickBot="1">
      <c r="B65" s="84" t="s">
        <v>1456</v>
      </c>
      <c r="C65" s="1140">
        <v>1316</v>
      </c>
      <c r="D65" s="46">
        <v>756</v>
      </c>
      <c r="E65" s="46">
        <v>716</v>
      </c>
    </row>
    <row r="66" spans="2:8" ht="15" thickBot="1">
      <c r="B66" s="84" t="s">
        <v>1457</v>
      </c>
      <c r="C66" s="1140">
        <v>2995</v>
      </c>
      <c r="D66" s="46">
        <v>2361</v>
      </c>
      <c r="E66" s="46">
        <v>2000</v>
      </c>
    </row>
    <row r="67" spans="2:8">
      <c r="B67" s="97" t="s">
        <v>1468</v>
      </c>
      <c r="C67" s="1266">
        <v>1108</v>
      </c>
      <c r="D67" s="189">
        <v>1051</v>
      </c>
      <c r="E67" s="189"/>
    </row>
    <row r="68" spans="2:8">
      <c r="B68" s="85" t="s">
        <v>1459</v>
      </c>
      <c r="C68" s="1244"/>
      <c r="D68" s="228"/>
      <c r="E68" s="228"/>
    </row>
    <row r="69" spans="2:8" ht="15" thickBot="1">
      <c r="B69" s="84" t="s">
        <v>356</v>
      </c>
      <c r="C69" s="1140">
        <v>17289</v>
      </c>
      <c r="D69" s="46">
        <v>15092</v>
      </c>
      <c r="E69" s="46">
        <v>19184</v>
      </c>
      <c r="H69" s="139"/>
    </row>
    <row r="70" spans="2:8" ht="15" thickBot="1">
      <c r="B70" s="84" t="s">
        <v>1460</v>
      </c>
      <c r="C70" s="1140">
        <v>502</v>
      </c>
      <c r="D70" s="46">
        <v>410</v>
      </c>
      <c r="E70" s="46">
        <v>337</v>
      </c>
    </row>
    <row r="71" spans="2:8" ht="15" thickBot="1">
      <c r="B71" s="84" t="s">
        <v>1461</v>
      </c>
      <c r="C71" s="1140">
        <v>1447</v>
      </c>
      <c r="D71" s="46">
        <v>1495</v>
      </c>
      <c r="E71" s="46">
        <v>1739</v>
      </c>
    </row>
    <row r="72" spans="2:8">
      <c r="B72" s="152" t="s">
        <v>388</v>
      </c>
      <c r="C72" s="1267">
        <v>16612</v>
      </c>
      <c r="D72" s="121">
        <v>15008</v>
      </c>
      <c r="E72" s="121">
        <v>15494</v>
      </c>
    </row>
    <row r="73" spans="2:8">
      <c r="B73" s="85" t="s">
        <v>1462</v>
      </c>
      <c r="C73" s="1244"/>
      <c r="D73" s="228"/>
      <c r="E73" s="228"/>
    </row>
    <row r="74" spans="2:8" ht="15" thickBot="1">
      <c r="B74" s="84" t="s">
        <v>1463</v>
      </c>
      <c r="C74" s="1140">
        <v>1077</v>
      </c>
      <c r="D74" s="46">
        <v>846</v>
      </c>
      <c r="E74" s="46">
        <v>681</v>
      </c>
    </row>
    <row r="75" spans="2:8" ht="15" thickBot="1">
      <c r="B75" s="84" t="s">
        <v>1464</v>
      </c>
      <c r="C75" s="1140">
        <v>1318</v>
      </c>
      <c r="D75" s="46">
        <v>913</v>
      </c>
      <c r="E75" s="46">
        <v>594</v>
      </c>
    </row>
    <row r="76" spans="2:8" ht="15" thickBot="1">
      <c r="B76" s="84" t="s">
        <v>1465</v>
      </c>
      <c r="C76" s="1140">
        <v>609</v>
      </c>
      <c r="D76" s="46">
        <v>487</v>
      </c>
      <c r="E76" s="46">
        <v>323</v>
      </c>
    </row>
    <row r="77" spans="2:8">
      <c r="B77" s="841" t="s">
        <v>1466</v>
      </c>
      <c r="C77" s="1265"/>
      <c r="D77" s="121"/>
      <c r="E77" s="121"/>
    </row>
    <row r="78" spans="2:8">
      <c r="B78" s="85" t="s">
        <v>1453</v>
      </c>
      <c r="C78" s="1244"/>
      <c r="D78" s="194"/>
      <c r="E78" s="194"/>
    </row>
    <row r="79" spans="2:8" ht="15" thickBot="1">
      <c r="B79" s="84" t="s">
        <v>1454</v>
      </c>
      <c r="C79" s="1140">
        <v>13086</v>
      </c>
      <c r="D79" s="46">
        <v>12919</v>
      </c>
      <c r="E79" s="46">
        <v>14216</v>
      </c>
    </row>
    <row r="80" spans="2:8" ht="15" thickBot="1">
      <c r="B80" s="84" t="s">
        <v>1455</v>
      </c>
      <c r="C80" s="1140">
        <v>3192</v>
      </c>
      <c r="D80" s="46">
        <v>2078</v>
      </c>
      <c r="E80" s="46">
        <v>1706</v>
      </c>
    </row>
    <row r="81" spans="2:11" ht="15" thickBot="1">
      <c r="B81" s="84" t="s">
        <v>1456</v>
      </c>
      <c r="C81" s="1140">
        <v>3493</v>
      </c>
      <c r="D81" s="46">
        <v>2670</v>
      </c>
      <c r="E81" s="46">
        <v>2300</v>
      </c>
    </row>
    <row r="82" spans="2:11">
      <c r="B82" s="152" t="s">
        <v>1457</v>
      </c>
      <c r="C82" s="1267">
        <v>4649</v>
      </c>
      <c r="D82" s="121">
        <v>4206</v>
      </c>
      <c r="E82" s="121">
        <v>4051</v>
      </c>
    </row>
    <row r="83" spans="2:11">
      <c r="B83" s="85" t="s">
        <v>1459</v>
      </c>
      <c r="C83" s="1244"/>
      <c r="D83" s="228"/>
      <c r="E83" s="228"/>
    </row>
    <row r="84" spans="2:11" ht="15" thickBot="1">
      <c r="B84" s="84" t="s">
        <v>356</v>
      </c>
      <c r="C84" s="1140">
        <v>5441</v>
      </c>
      <c r="D84" s="46">
        <v>4302</v>
      </c>
      <c r="E84" s="46">
        <v>4883</v>
      </c>
    </row>
    <row r="85" spans="2:11">
      <c r="B85" s="152" t="s">
        <v>1460</v>
      </c>
      <c r="C85" s="1267">
        <v>310</v>
      </c>
      <c r="D85" s="121">
        <v>331</v>
      </c>
      <c r="E85" s="121">
        <v>277</v>
      </c>
    </row>
    <row r="86" spans="2:11">
      <c r="B86" s="85" t="s">
        <v>1462</v>
      </c>
      <c r="C86" s="1244"/>
      <c r="D86" s="228"/>
      <c r="E86" s="228"/>
    </row>
    <row r="87" spans="2:11" ht="15" thickBot="1">
      <c r="B87" s="84" t="s">
        <v>1463</v>
      </c>
      <c r="C87" s="1140">
        <v>393</v>
      </c>
      <c r="D87" s="46">
        <v>347</v>
      </c>
      <c r="E87" s="46">
        <v>93</v>
      </c>
    </row>
    <row r="88" spans="2:11" ht="15" thickBot="1">
      <c r="B88" s="84" t="s">
        <v>1464</v>
      </c>
      <c r="C88" s="1140">
        <v>1511</v>
      </c>
      <c r="D88" s="46">
        <v>1356</v>
      </c>
      <c r="E88" s="46">
        <v>1114</v>
      </c>
    </row>
    <row r="89" spans="2:11" ht="15" thickBot="1">
      <c r="B89" s="84" t="s">
        <v>1465</v>
      </c>
      <c r="C89" s="1140">
        <v>317</v>
      </c>
      <c r="D89" s="46">
        <v>294</v>
      </c>
      <c r="E89" s="46">
        <v>212</v>
      </c>
    </row>
    <row r="90" spans="2:11">
      <c r="B90" s="10" t="s">
        <v>1927</v>
      </c>
    </row>
    <row r="92" spans="2:11" ht="15.6">
      <c r="B92" s="83" t="s">
        <v>1452</v>
      </c>
    </row>
    <row r="93" spans="2:11">
      <c r="B93" s="842" t="s">
        <v>1469</v>
      </c>
    </row>
    <row r="94" spans="2:11">
      <c r="B94" s="194"/>
      <c r="C94" s="228">
        <v>2022</v>
      </c>
      <c r="D94" s="228">
        <v>2017</v>
      </c>
      <c r="E94" s="228">
        <v>2022</v>
      </c>
      <c r="F94" s="228">
        <v>2017</v>
      </c>
      <c r="G94" s="56"/>
      <c r="H94" s="56"/>
      <c r="I94" s="56"/>
      <c r="J94" s="56"/>
    </row>
    <row r="95" spans="2:11">
      <c r="B95" s="85" t="s">
        <v>1453</v>
      </c>
      <c r="C95" s="1559" t="s">
        <v>1470</v>
      </c>
      <c r="D95" s="1559"/>
      <c r="E95" s="1559" t="s">
        <v>487</v>
      </c>
      <c r="F95" s="1559"/>
      <c r="G95" s="1580"/>
      <c r="H95" s="1580"/>
      <c r="I95" s="1580"/>
      <c r="J95" s="1580"/>
    </row>
    <row r="96" spans="2:11" ht="15" thickBot="1">
      <c r="B96" s="84" t="s">
        <v>1454</v>
      </c>
      <c r="C96" s="1143">
        <v>4259</v>
      </c>
      <c r="D96" s="46">
        <v>3893.8204070000002</v>
      </c>
      <c r="E96" s="1143">
        <v>3956</v>
      </c>
      <c r="F96" s="46">
        <v>3446.7738399575114</v>
      </c>
      <c r="G96" s="121"/>
      <c r="H96" s="121"/>
      <c r="I96" s="121"/>
      <c r="J96" s="121"/>
      <c r="K96" s="134"/>
    </row>
    <row r="97" spans="2:11" ht="15" thickBot="1">
      <c r="B97" s="84" t="s">
        <v>1455</v>
      </c>
      <c r="C97" s="1143">
        <v>763</v>
      </c>
      <c r="D97" s="46">
        <v>672.00915300000008</v>
      </c>
      <c r="E97" s="1143">
        <v>708</v>
      </c>
      <c r="F97" s="46">
        <v>594.85629193591228</v>
      </c>
      <c r="G97" s="121"/>
      <c r="H97" s="121"/>
      <c r="I97" s="121"/>
      <c r="J97" s="121"/>
      <c r="K97" s="134"/>
    </row>
    <row r="98" spans="2:11" ht="15" thickBot="1">
      <c r="B98" s="84" t="s">
        <v>1456</v>
      </c>
      <c r="C98" s="1143">
        <v>1000</v>
      </c>
      <c r="D98" s="46">
        <v>449.24144799999999</v>
      </c>
      <c r="E98" s="1143">
        <v>929</v>
      </c>
      <c r="F98" s="46">
        <v>397.66437815349212</v>
      </c>
      <c r="G98" s="121"/>
      <c r="H98" s="121"/>
      <c r="I98" s="121"/>
      <c r="J98" s="121"/>
      <c r="K98" s="134"/>
    </row>
    <row r="99" spans="2:11" ht="15" thickBot="1">
      <c r="B99" s="84" t="s">
        <v>1457</v>
      </c>
      <c r="C99" s="1143">
        <v>1316</v>
      </c>
      <c r="D99" s="46">
        <v>1049.9596939999999</v>
      </c>
      <c r="E99" s="1143">
        <v>1222</v>
      </c>
      <c r="F99" s="46">
        <v>929.41461804018763</v>
      </c>
      <c r="G99" s="121"/>
      <c r="H99" s="121"/>
      <c r="I99" s="121"/>
      <c r="J99" s="121"/>
      <c r="K99" s="134"/>
    </row>
    <row r="100" spans="2:11">
      <c r="B100" s="152" t="s">
        <v>1468</v>
      </c>
      <c r="C100" s="1163">
        <v>135</v>
      </c>
      <c r="D100" s="121">
        <v>127.12109100000001</v>
      </c>
      <c r="E100" s="1163">
        <v>125</v>
      </c>
      <c r="F100" s="121">
        <v>112.52641497742765</v>
      </c>
      <c r="G100" s="121"/>
      <c r="H100" s="121"/>
      <c r="I100" s="121"/>
      <c r="J100" s="121"/>
      <c r="K100" s="134"/>
    </row>
    <row r="101" spans="2:11">
      <c r="B101" s="85" t="s">
        <v>1459</v>
      </c>
      <c r="C101" s="1244"/>
      <c r="D101" s="85"/>
      <c r="E101" s="1244"/>
      <c r="F101" s="85"/>
      <c r="G101" s="56"/>
      <c r="H101" s="56"/>
      <c r="I101" s="56"/>
      <c r="J101" s="56"/>
      <c r="K101" s="134"/>
    </row>
    <row r="102" spans="2:11" ht="15" thickBot="1">
      <c r="B102" s="84" t="s">
        <v>356</v>
      </c>
      <c r="C102" s="1143">
        <v>8088</v>
      </c>
      <c r="D102" s="46">
        <v>5889.6376109999992</v>
      </c>
      <c r="E102" s="1143">
        <v>7512</v>
      </c>
      <c r="F102" s="46">
        <v>5213.4527848101261</v>
      </c>
      <c r="G102" s="121"/>
      <c r="H102" s="121"/>
      <c r="I102" s="121"/>
      <c r="J102" s="121"/>
      <c r="K102" s="134"/>
    </row>
    <row r="103" spans="2:11" ht="15" thickBot="1">
      <c r="B103" s="84" t="s">
        <v>1460</v>
      </c>
      <c r="C103" s="1143">
        <v>35</v>
      </c>
      <c r="D103" s="46">
        <v>19.314437999999999</v>
      </c>
      <c r="E103" s="1143">
        <v>32</v>
      </c>
      <c r="F103" s="46">
        <v>17.096962025316454</v>
      </c>
      <c r="G103" s="121"/>
      <c r="H103" s="121"/>
      <c r="I103" s="121"/>
      <c r="J103" s="121"/>
      <c r="K103" s="134"/>
    </row>
    <row r="104" spans="2:11" ht="15" thickBot="1">
      <c r="B104" s="84" t="s">
        <v>1461</v>
      </c>
      <c r="C104" s="1145" t="s">
        <v>59</v>
      </c>
      <c r="D104" s="46">
        <v>1148.914217</v>
      </c>
      <c r="E104" s="1145" t="s">
        <v>59</v>
      </c>
      <c r="F104" s="46">
        <v>1017.0082473222981</v>
      </c>
      <c r="G104" s="121"/>
      <c r="H104" s="121"/>
      <c r="I104" s="121"/>
      <c r="J104" s="121"/>
      <c r="K104" s="134"/>
    </row>
    <row r="105" spans="2:11">
      <c r="B105" s="97" t="s">
        <v>388</v>
      </c>
      <c r="C105" s="1166">
        <v>553</v>
      </c>
      <c r="D105" s="189">
        <v>376.98399999999998</v>
      </c>
      <c r="E105" s="1166">
        <v>514</v>
      </c>
      <c r="F105" s="189">
        <v>333.70275294325927</v>
      </c>
      <c r="G105" s="121"/>
      <c r="H105" s="121"/>
      <c r="I105" s="121"/>
      <c r="J105" s="121"/>
      <c r="K105" s="134"/>
    </row>
    <row r="106" spans="2:11">
      <c r="B106" s="85" t="s">
        <v>1462</v>
      </c>
      <c r="C106" s="1244"/>
      <c r="D106" s="85"/>
      <c r="E106" s="1244"/>
      <c r="F106" s="85"/>
      <c r="G106" s="56"/>
      <c r="H106" s="56"/>
      <c r="I106" s="56"/>
      <c r="J106" s="56"/>
      <c r="K106" s="134"/>
    </row>
    <row r="107" spans="2:11" ht="15" thickBot="1">
      <c r="B107" s="84" t="s">
        <v>1471</v>
      </c>
      <c r="C107" s="1143">
        <v>92</v>
      </c>
      <c r="D107" s="46">
        <v>83.457841000000002</v>
      </c>
      <c r="E107" s="1143">
        <v>85</v>
      </c>
      <c r="F107" s="46">
        <v>73.876109586615925</v>
      </c>
      <c r="G107" s="121"/>
      <c r="H107" s="121"/>
      <c r="I107" s="121"/>
      <c r="J107" s="121"/>
      <c r="K107" s="134"/>
    </row>
    <row r="108" spans="2:11" ht="15" thickBot="1">
      <c r="B108" s="84" t="s">
        <v>1464</v>
      </c>
      <c r="C108" s="1143">
        <v>869</v>
      </c>
      <c r="D108" s="46">
        <v>644.37153899999998</v>
      </c>
      <c r="E108" s="1143">
        <v>807</v>
      </c>
      <c r="F108" s="46">
        <v>570.39173143312382</v>
      </c>
      <c r="G108" s="121"/>
      <c r="H108" s="121"/>
      <c r="I108" s="121"/>
      <c r="J108" s="121"/>
      <c r="K108" s="134"/>
    </row>
    <row r="109" spans="2:11" ht="15" thickBot="1">
      <c r="B109" s="84" t="s">
        <v>1465</v>
      </c>
      <c r="C109" s="1143">
        <v>41</v>
      </c>
      <c r="D109" s="46">
        <v>25.339973000000001</v>
      </c>
      <c r="E109" s="1143">
        <v>38</v>
      </c>
      <c r="F109" s="46">
        <v>22.430709922988406</v>
      </c>
      <c r="G109" s="121"/>
      <c r="H109" s="121"/>
      <c r="I109" s="121"/>
      <c r="J109" s="121"/>
      <c r="K109" s="134"/>
    </row>
    <row r="110" spans="2:11">
      <c r="B110" s="10" t="s">
        <v>1927</v>
      </c>
    </row>
    <row r="112" spans="2:11">
      <c r="C112" s="139"/>
    </row>
    <row r="113" spans="2:21" ht="15.6">
      <c r="B113" s="83" t="s">
        <v>1472</v>
      </c>
      <c r="K113" s="731"/>
      <c r="L113" s="731"/>
    </row>
    <row r="114" spans="2:21">
      <c r="B114" s="93" t="s">
        <v>46</v>
      </c>
      <c r="K114" s="731"/>
      <c r="L114" s="731"/>
    </row>
    <row r="115" spans="2:21">
      <c r="B115" s="6"/>
      <c r="C115" s="115">
        <v>2023</v>
      </c>
      <c r="D115" s="115">
        <v>2023</v>
      </c>
      <c r="E115" s="115">
        <v>2022</v>
      </c>
      <c r="F115" s="115">
        <v>2021</v>
      </c>
      <c r="G115" s="115">
        <v>2020</v>
      </c>
      <c r="H115" s="115">
        <v>2019</v>
      </c>
      <c r="I115" s="115">
        <v>2018</v>
      </c>
      <c r="J115" s="115">
        <v>2015</v>
      </c>
      <c r="K115" s="115">
        <v>2014</v>
      </c>
      <c r="L115" s="94"/>
      <c r="M115" s="94"/>
      <c r="N115" s="94"/>
      <c r="O115" s="94"/>
      <c r="P115" s="94"/>
      <c r="Q115" s="94"/>
      <c r="S115" s="94"/>
      <c r="T115" s="94"/>
      <c r="U115" s="94"/>
    </row>
    <row r="116" spans="2:21" ht="15" thickBot="1">
      <c r="B116" s="84" t="s">
        <v>598</v>
      </c>
      <c r="C116" s="1295">
        <v>688.46726822398227</v>
      </c>
      <c r="D116" s="1446">
        <v>688.46726822398227</v>
      </c>
      <c r="E116" s="46">
        <v>631</v>
      </c>
      <c r="F116" s="46">
        <v>621.01939379999999</v>
      </c>
      <c r="G116" s="46">
        <v>538.77236789999995</v>
      </c>
      <c r="H116" s="46">
        <v>544.00280680000003</v>
      </c>
      <c r="I116" s="46">
        <v>538</v>
      </c>
      <c r="J116" s="46">
        <v>511</v>
      </c>
      <c r="K116" s="46">
        <v>534</v>
      </c>
      <c r="L116" s="121"/>
      <c r="M116" s="121"/>
      <c r="N116" s="121"/>
      <c r="O116" s="121"/>
      <c r="P116" s="121"/>
      <c r="Q116" s="121"/>
      <c r="S116" s="134"/>
      <c r="T116" s="134"/>
      <c r="U116" s="134"/>
    </row>
    <row r="117" spans="2:21" ht="15" thickBot="1">
      <c r="B117" s="84" t="s">
        <v>1473</v>
      </c>
      <c r="C117" s="1295">
        <v>653.06191967998313</v>
      </c>
      <c r="D117" s="1446">
        <v>653.06191967998313</v>
      </c>
      <c r="E117" s="46">
        <v>703</v>
      </c>
      <c r="F117" s="46">
        <v>707.16834570000003</v>
      </c>
      <c r="G117" s="46">
        <v>504.56548329999998</v>
      </c>
      <c r="H117" s="46">
        <v>591.03959569999995</v>
      </c>
      <c r="I117" s="46">
        <v>589</v>
      </c>
      <c r="J117" s="46">
        <v>587</v>
      </c>
      <c r="K117" s="46">
        <v>676</v>
      </c>
      <c r="L117" s="121"/>
      <c r="M117" s="121"/>
      <c r="N117" s="121"/>
      <c r="O117" s="121"/>
      <c r="P117" s="121"/>
      <c r="Q117" s="121"/>
      <c r="S117" s="134"/>
      <c r="T117" s="134"/>
      <c r="U117" s="134"/>
    </row>
    <row r="118" spans="2:21" ht="15" thickBot="1">
      <c r="B118" s="84" t="s">
        <v>1474</v>
      </c>
      <c r="C118" s="1295">
        <v>3501.4691260799095</v>
      </c>
      <c r="D118" s="1446">
        <v>3501.4691260799095</v>
      </c>
      <c r="E118" s="46">
        <v>3520</v>
      </c>
      <c r="F118" s="46">
        <v>3730.5849970999998</v>
      </c>
      <c r="G118" s="46">
        <v>2891.1878115</v>
      </c>
      <c r="H118" s="46">
        <v>3151.8457586</v>
      </c>
      <c r="I118" s="46" t="s">
        <v>1647</v>
      </c>
      <c r="J118" s="46" t="s">
        <v>1648</v>
      </c>
      <c r="K118" s="46" t="s">
        <v>1649</v>
      </c>
      <c r="L118" s="121"/>
      <c r="M118" s="121"/>
      <c r="N118" s="121"/>
      <c r="S118" s="134"/>
      <c r="T118" s="134"/>
      <c r="U118" s="134"/>
    </row>
    <row r="119" spans="2:21" ht="15" thickBot="1">
      <c r="B119" s="49" t="s">
        <v>1475</v>
      </c>
      <c r="C119" s="1296">
        <v>4842.9983139838751</v>
      </c>
      <c r="D119" s="1447">
        <v>4842.9983139838751</v>
      </c>
      <c r="E119" s="45">
        <v>4854</v>
      </c>
      <c r="F119" s="45">
        <v>5058.7727365999999</v>
      </c>
      <c r="G119" s="45">
        <v>3934.5256626999999</v>
      </c>
      <c r="H119" s="45">
        <v>4286.8881610999997</v>
      </c>
      <c r="I119" s="45">
        <v>3930</v>
      </c>
      <c r="J119" s="45">
        <v>3803</v>
      </c>
      <c r="K119" s="45">
        <v>4060</v>
      </c>
      <c r="L119" s="122"/>
      <c r="M119" s="122"/>
      <c r="N119" s="122"/>
      <c r="S119" s="134"/>
      <c r="T119" s="134"/>
      <c r="U119" s="134"/>
    </row>
    <row r="120" spans="2:21" ht="15" thickBot="1">
      <c r="B120" s="84" t="s">
        <v>1476</v>
      </c>
      <c r="C120" s="1295">
        <v>3067.3053492479207</v>
      </c>
      <c r="D120" s="1446">
        <v>3067.3053492479207</v>
      </c>
      <c r="E120" s="46">
        <v>2881</v>
      </c>
      <c r="F120" s="46">
        <v>3173.4457060999998</v>
      </c>
      <c r="G120" s="46">
        <v>3015.6499605999998</v>
      </c>
      <c r="H120" s="46">
        <v>2671.6858934000002</v>
      </c>
      <c r="I120" s="46" t="s">
        <v>1650</v>
      </c>
      <c r="J120" s="46" t="s">
        <v>1651</v>
      </c>
      <c r="K120" s="46" t="s">
        <v>1652</v>
      </c>
      <c r="L120" s="121"/>
      <c r="M120" s="121"/>
      <c r="N120" s="121"/>
      <c r="S120" s="134"/>
      <c r="T120" s="134"/>
      <c r="U120" s="134"/>
    </row>
    <row r="121" spans="2:21" ht="15" thickBot="1">
      <c r="B121" s="49" t="s">
        <v>1477</v>
      </c>
      <c r="C121" s="1296">
        <v>7910.3036632317962</v>
      </c>
      <c r="D121" s="1447">
        <v>7910.3036632317962</v>
      </c>
      <c r="E121" s="45">
        <v>7735</v>
      </c>
      <c r="F121" s="45">
        <v>8232.2184426999993</v>
      </c>
      <c r="G121" s="45">
        <v>6950.1756232999996</v>
      </c>
      <c r="H121" s="45">
        <v>6958.5740544999999</v>
      </c>
      <c r="I121" s="45">
        <v>7984</v>
      </c>
      <c r="J121" s="45">
        <v>7125</v>
      </c>
      <c r="K121" s="45">
        <v>7146</v>
      </c>
      <c r="L121" s="122"/>
      <c r="M121" s="122"/>
      <c r="N121" s="122"/>
      <c r="S121" s="134"/>
      <c r="T121" s="134"/>
      <c r="U121" s="134"/>
    </row>
    <row r="122" spans="2:21" ht="15" thickBot="1">
      <c r="B122" s="49" t="s">
        <v>1478</v>
      </c>
      <c r="C122" s="1296">
        <v>18700.928211704198</v>
      </c>
      <c r="D122" s="1447">
        <v>18700.928211704198</v>
      </c>
      <c r="E122" s="45">
        <v>19045</v>
      </c>
      <c r="F122" s="45">
        <v>22651.562242900003</v>
      </c>
      <c r="G122" s="45">
        <v>19721.221503600002</v>
      </c>
      <c r="H122" s="45">
        <v>32328.040273200004</v>
      </c>
      <c r="I122" s="45">
        <v>15523</v>
      </c>
      <c r="J122" s="45">
        <v>16205</v>
      </c>
      <c r="K122" s="45">
        <v>24718</v>
      </c>
      <c r="L122" s="122"/>
      <c r="M122" s="122"/>
      <c r="N122" s="122"/>
      <c r="O122" s="122"/>
    </row>
    <row r="123" spans="2:21">
      <c r="B123" s="10" t="s">
        <v>1949</v>
      </c>
      <c r="J123" s="844"/>
      <c r="R123" s="134"/>
      <c r="S123" s="134"/>
      <c r="T123" s="134"/>
    </row>
    <row r="124" spans="2:21">
      <c r="B124" s="87" t="s">
        <v>1479</v>
      </c>
      <c r="C124" s="139">
        <f>D119+D122+D121</f>
        <v>31454.230188919872</v>
      </c>
      <c r="D124" s="139">
        <f>E119+E122+E121</f>
        <v>31634</v>
      </c>
      <c r="E124" s="139">
        <f>F119+F122+F121</f>
        <v>35942.553422199999</v>
      </c>
      <c r="F124" s="139">
        <f>G119+G122+G121</f>
        <v>30605.922789600001</v>
      </c>
      <c r="G124" s="139">
        <f>H119+H122+H121</f>
        <v>43573.502488800004</v>
      </c>
      <c r="H124" s="139">
        <f>I122+I121+I119</f>
        <v>27437</v>
      </c>
      <c r="I124" s="139">
        <f>J119+J122+J121</f>
        <v>27133</v>
      </c>
      <c r="J124" s="139">
        <f>K119+K122+K121</f>
        <v>35924</v>
      </c>
      <c r="K124" s="139" t="e">
        <f>#REF!+#REF!+#REF!</f>
        <v>#REF!</v>
      </c>
    </row>
    <row r="125" spans="2:21">
      <c r="B125" s="87"/>
      <c r="F125" s="134"/>
      <c r="H125" s="16"/>
      <c r="I125" s="16"/>
      <c r="J125" s="844"/>
    </row>
    <row r="126" spans="2:21" ht="15.6">
      <c r="B126" s="83" t="s">
        <v>1472</v>
      </c>
      <c r="F126" s="134"/>
    </row>
    <row r="127" spans="2:21">
      <c r="B127" s="93" t="s">
        <v>1145</v>
      </c>
      <c r="F127" s="134"/>
    </row>
    <row r="128" spans="2:21" ht="15.6">
      <c r="B128" s="297" t="s">
        <v>751</v>
      </c>
      <c r="C128" s="298" t="s">
        <v>1480</v>
      </c>
      <c r="F128" s="134"/>
      <c r="H128" s="845"/>
    </row>
    <row r="129" spans="2:14" ht="16.2" thickBot="1">
      <c r="B129" s="230">
        <v>2023</v>
      </c>
      <c r="C129" s="301">
        <v>3261</v>
      </c>
      <c r="F129" s="134"/>
      <c r="H129" s="845"/>
    </row>
    <row r="130" spans="2:14" ht="16.2" thickBot="1">
      <c r="B130" s="36">
        <v>2022</v>
      </c>
      <c r="C130" s="301">
        <v>3469</v>
      </c>
      <c r="F130" s="134"/>
      <c r="H130" s="845"/>
    </row>
    <row r="131" spans="2:14" ht="15" thickBot="1">
      <c r="B131" s="36">
        <v>2021</v>
      </c>
      <c r="C131" s="301">
        <v>3599</v>
      </c>
      <c r="F131" s="134"/>
    </row>
    <row r="132" spans="2:14" ht="15" thickBot="1">
      <c r="B132" s="36">
        <v>2020</v>
      </c>
      <c r="C132" s="301">
        <v>2604</v>
      </c>
      <c r="F132" s="134"/>
    </row>
    <row r="133" spans="2:14" ht="15" thickBot="1">
      <c r="B133" s="36">
        <v>2019</v>
      </c>
      <c r="C133" s="301">
        <v>2672</v>
      </c>
      <c r="F133" s="134"/>
    </row>
    <row r="134" spans="2:14" ht="15" thickBot="1">
      <c r="B134" s="36">
        <v>2018</v>
      </c>
      <c r="C134" s="301">
        <v>2792</v>
      </c>
      <c r="F134" s="134"/>
    </row>
    <row r="135" spans="2:14" ht="15" thickBot="1">
      <c r="B135" s="36">
        <v>2015</v>
      </c>
      <c r="C135" s="301">
        <v>2595</v>
      </c>
    </row>
    <row r="136" spans="2:14">
      <c r="B136" s="10" t="s">
        <v>1949</v>
      </c>
    </row>
    <row r="137" spans="2:14">
      <c r="B137" s="687" t="s">
        <v>1481</v>
      </c>
      <c r="K137" s="134"/>
      <c r="L137" s="134"/>
    </row>
    <row r="138" spans="2:14">
      <c r="K138" s="134"/>
      <c r="L138" s="134"/>
    </row>
    <row r="139" spans="2:14">
      <c r="K139" s="134"/>
      <c r="L139" s="134"/>
    </row>
    <row r="140" spans="2:14" ht="15.6">
      <c r="B140" s="83" t="s">
        <v>814</v>
      </c>
    </row>
    <row r="141" spans="2:14">
      <c r="B141" s="93" t="s">
        <v>1482</v>
      </c>
    </row>
    <row r="142" spans="2:14">
      <c r="B142" s="115"/>
      <c r="C142" s="115">
        <v>2023</v>
      </c>
      <c r="D142" s="115">
        <v>2022</v>
      </c>
      <c r="E142" s="115">
        <v>2021</v>
      </c>
      <c r="F142" s="115">
        <v>2020</v>
      </c>
      <c r="G142" s="115">
        <v>2019</v>
      </c>
      <c r="H142" s="115">
        <v>2018</v>
      </c>
      <c r="I142" s="115">
        <v>2015</v>
      </c>
      <c r="J142" s="115">
        <v>2014</v>
      </c>
      <c r="K142" s="115">
        <v>2013</v>
      </c>
      <c r="L142" s="94"/>
      <c r="M142" s="94"/>
      <c r="N142" s="94"/>
    </row>
    <row r="143" spans="2:14" ht="15" thickBot="1">
      <c r="B143" s="84" t="s">
        <v>141</v>
      </c>
      <c r="C143" s="1295">
        <v>148725</v>
      </c>
      <c r="D143" s="46">
        <v>187706</v>
      </c>
      <c r="E143" s="46">
        <v>188514</v>
      </c>
      <c r="F143" s="46">
        <v>175096</v>
      </c>
      <c r="G143" s="46">
        <v>182205</v>
      </c>
      <c r="H143" s="46">
        <v>173247</v>
      </c>
      <c r="I143" s="46">
        <v>167378</v>
      </c>
      <c r="J143" s="46">
        <v>160990</v>
      </c>
      <c r="K143" s="46">
        <v>161926</v>
      </c>
      <c r="L143" s="121"/>
      <c r="M143" s="121"/>
      <c r="N143" s="121"/>
    </row>
    <row r="144" spans="2:14" ht="15" thickBot="1">
      <c r="B144" s="84" t="s">
        <v>116</v>
      </c>
      <c r="C144" s="1295">
        <v>31033</v>
      </c>
      <c r="D144" s="46">
        <v>45010</v>
      </c>
      <c r="E144" s="46">
        <v>71419</v>
      </c>
      <c r="F144" s="46">
        <v>83353</v>
      </c>
      <c r="G144" s="46">
        <v>96889</v>
      </c>
      <c r="H144" s="46">
        <v>90999</v>
      </c>
      <c r="I144" s="46">
        <v>106680</v>
      </c>
      <c r="J144" s="46">
        <v>105028</v>
      </c>
      <c r="K144" s="46">
        <v>98535</v>
      </c>
      <c r="L144" s="121"/>
      <c r="M144" s="121"/>
      <c r="N144" s="121"/>
    </row>
    <row r="145" spans="2:14" ht="15" thickBot="1">
      <c r="B145" s="84" t="s">
        <v>1483</v>
      </c>
      <c r="C145" s="1295">
        <v>51387</v>
      </c>
      <c r="D145" s="46">
        <v>66145</v>
      </c>
      <c r="E145" s="46">
        <v>68909</v>
      </c>
      <c r="F145" s="46">
        <v>68546</v>
      </c>
      <c r="G145" s="46">
        <v>80946</v>
      </c>
      <c r="H145" s="46">
        <v>72435</v>
      </c>
      <c r="I145" s="46">
        <v>82551</v>
      </c>
      <c r="J145" s="46">
        <v>79432</v>
      </c>
      <c r="K145" s="46">
        <v>87094</v>
      </c>
      <c r="L145" s="121"/>
      <c r="M145" s="121"/>
      <c r="N145" s="121"/>
    </row>
    <row r="146" spans="2:14" ht="15" thickBot="1">
      <c r="B146" s="84" t="s">
        <v>1484</v>
      </c>
      <c r="C146" s="1295">
        <v>28501</v>
      </c>
      <c r="D146" s="46">
        <v>28795</v>
      </c>
      <c r="E146" s="46">
        <v>31567</v>
      </c>
      <c r="F146" s="46">
        <v>44712</v>
      </c>
      <c r="G146" s="46">
        <v>49880</v>
      </c>
      <c r="H146" s="46">
        <v>61647</v>
      </c>
      <c r="I146" s="46">
        <v>60778</v>
      </c>
      <c r="J146" s="273">
        <v>61724</v>
      </c>
      <c r="K146" s="46">
        <v>59435</v>
      </c>
      <c r="L146" s="121"/>
      <c r="M146" s="121"/>
      <c r="N146" s="121"/>
    </row>
    <row r="147" spans="2:14" ht="15" thickBot="1">
      <c r="B147" s="84" t="s">
        <v>214</v>
      </c>
      <c r="C147" s="1295">
        <v>15169</v>
      </c>
      <c r="D147" s="46">
        <v>15642</v>
      </c>
      <c r="E147" s="46">
        <v>15741</v>
      </c>
      <c r="F147" s="46">
        <v>12585</v>
      </c>
      <c r="G147" s="46">
        <v>32340</v>
      </c>
      <c r="H147" s="46">
        <v>36466</v>
      </c>
      <c r="I147" s="46">
        <v>43787</v>
      </c>
      <c r="J147" s="46">
        <v>45682</v>
      </c>
      <c r="K147" s="46">
        <v>54635</v>
      </c>
      <c r="L147" s="121"/>
      <c r="M147" s="121"/>
      <c r="N147" s="121"/>
    </row>
    <row r="148" spans="2:14" ht="15" thickBot="1">
      <c r="B148" s="84" t="s">
        <v>1485</v>
      </c>
      <c r="C148" s="1295">
        <v>18552</v>
      </c>
      <c r="D148" s="46">
        <v>15390</v>
      </c>
      <c r="E148" s="46">
        <v>17051</v>
      </c>
      <c r="F148" s="46">
        <v>16038</v>
      </c>
      <c r="G148" s="46">
        <v>17265</v>
      </c>
      <c r="H148" s="46">
        <v>29774</v>
      </c>
      <c r="I148" s="46">
        <v>27812</v>
      </c>
      <c r="J148" s="46">
        <v>30555</v>
      </c>
      <c r="K148" s="46">
        <v>28626</v>
      </c>
      <c r="L148" s="121"/>
      <c r="M148" s="121"/>
      <c r="N148" s="121"/>
    </row>
    <row r="149" spans="2:14" ht="15" thickBot="1">
      <c r="B149" s="84" t="s">
        <v>212</v>
      </c>
      <c r="C149" s="1295">
        <v>11466</v>
      </c>
      <c r="D149" s="46">
        <v>12697</v>
      </c>
      <c r="E149" s="46">
        <v>14282</v>
      </c>
      <c r="F149" s="46">
        <v>19304</v>
      </c>
      <c r="G149" s="46">
        <v>22839</v>
      </c>
      <c r="H149" s="46">
        <v>28218</v>
      </c>
      <c r="I149" s="46">
        <v>43863</v>
      </c>
      <c r="J149" s="46">
        <v>41467</v>
      </c>
      <c r="K149" s="273">
        <v>42013</v>
      </c>
      <c r="L149" s="121"/>
      <c r="M149" s="121"/>
      <c r="N149" s="121"/>
    </row>
    <row r="150" spans="2:14" ht="15" thickBot="1">
      <c r="B150" s="84" t="s">
        <v>218</v>
      </c>
      <c r="C150" s="1295">
        <v>20651</v>
      </c>
      <c r="D150" s="46">
        <v>15706</v>
      </c>
      <c r="E150" s="46">
        <v>23925</v>
      </c>
      <c r="F150" s="46">
        <v>21550</v>
      </c>
      <c r="G150" s="46">
        <v>24148</v>
      </c>
      <c r="H150" s="46">
        <v>14030</v>
      </c>
      <c r="I150" s="46" t="s">
        <v>59</v>
      </c>
      <c r="J150" s="46" t="s">
        <v>59</v>
      </c>
      <c r="K150" s="46" t="s">
        <v>59</v>
      </c>
      <c r="L150" s="121"/>
      <c r="M150" s="121"/>
      <c r="N150" s="121"/>
    </row>
    <row r="151" spans="2:14" ht="21" thickBot="1">
      <c r="B151" s="84" t="s">
        <v>1486</v>
      </c>
      <c r="C151" s="1295">
        <v>899</v>
      </c>
      <c r="D151" s="46">
        <v>2450</v>
      </c>
      <c r="E151" s="46">
        <v>2411</v>
      </c>
      <c r="F151" s="46">
        <v>1765</v>
      </c>
      <c r="G151" s="46">
        <v>3668</v>
      </c>
      <c r="H151" s="46">
        <v>6880</v>
      </c>
      <c r="I151" s="46">
        <v>7777</v>
      </c>
      <c r="J151" s="46">
        <v>6677</v>
      </c>
      <c r="K151" s="46">
        <v>9009</v>
      </c>
      <c r="L151" s="121"/>
      <c r="M151" s="121"/>
      <c r="N151" s="121"/>
    </row>
    <row r="152" spans="2:14" ht="15" thickBot="1">
      <c r="B152" s="84" t="s">
        <v>1487</v>
      </c>
      <c r="C152" s="1295">
        <v>11117</v>
      </c>
      <c r="D152" s="46">
        <v>11580</v>
      </c>
      <c r="E152" s="46">
        <v>9491</v>
      </c>
      <c r="F152" s="46">
        <v>8770</v>
      </c>
      <c r="G152" s="46">
        <v>10299</v>
      </c>
      <c r="H152" s="46">
        <v>5491</v>
      </c>
      <c r="I152" s="46" t="s">
        <v>59</v>
      </c>
      <c r="J152" s="46" t="s">
        <v>59</v>
      </c>
      <c r="K152" s="46" t="s">
        <v>59</v>
      </c>
      <c r="L152" s="121"/>
      <c r="M152" s="121"/>
      <c r="N152" s="121"/>
    </row>
    <row r="153" spans="2:14" ht="15" thickBot="1">
      <c r="B153" s="84" t="s">
        <v>1488</v>
      </c>
      <c r="C153" s="1295">
        <v>2119</v>
      </c>
      <c r="D153" s="46">
        <v>4219</v>
      </c>
      <c r="E153" s="46">
        <v>3942</v>
      </c>
      <c r="F153" s="46">
        <v>3298</v>
      </c>
      <c r="G153" s="46">
        <v>3047</v>
      </c>
      <c r="H153" s="46">
        <v>3628</v>
      </c>
      <c r="I153" s="46">
        <v>4682</v>
      </c>
      <c r="J153" s="46">
        <v>6737</v>
      </c>
      <c r="K153" s="46">
        <v>5846</v>
      </c>
      <c r="L153" s="121"/>
      <c r="M153" s="121"/>
      <c r="N153" s="121"/>
    </row>
    <row r="154" spans="2:14" ht="15" thickBot="1">
      <c r="B154" s="84" t="s">
        <v>1489</v>
      </c>
      <c r="C154" s="1295">
        <v>6510</v>
      </c>
      <c r="D154" s="46">
        <v>5103</v>
      </c>
      <c r="E154" s="46">
        <v>7071</v>
      </c>
      <c r="F154" s="46" t="s">
        <v>59</v>
      </c>
      <c r="G154" s="46" t="s">
        <v>59</v>
      </c>
      <c r="H154" s="46" t="s">
        <v>59</v>
      </c>
      <c r="I154" s="46">
        <v>12671</v>
      </c>
      <c r="J154" s="46">
        <v>17091</v>
      </c>
      <c r="K154" s="46">
        <v>16929</v>
      </c>
      <c r="L154" s="121"/>
      <c r="M154" s="121"/>
      <c r="N154" s="121"/>
    </row>
    <row r="155" spans="2:14" ht="15" thickBot="1">
      <c r="B155" s="84" t="s">
        <v>231</v>
      </c>
      <c r="C155" s="89" t="s">
        <v>59</v>
      </c>
      <c r="D155" s="46" t="s">
        <v>59</v>
      </c>
      <c r="E155" s="46" t="s">
        <v>59</v>
      </c>
      <c r="F155" s="46" t="s">
        <v>59</v>
      </c>
      <c r="G155" s="46" t="s">
        <v>59</v>
      </c>
      <c r="H155" s="46" t="s">
        <v>59</v>
      </c>
      <c r="I155" s="46">
        <v>7747</v>
      </c>
      <c r="J155" s="273">
        <v>8890</v>
      </c>
      <c r="K155" s="273">
        <v>10164</v>
      </c>
      <c r="L155" s="121"/>
      <c r="M155" s="121"/>
      <c r="N155" s="121"/>
    </row>
    <row r="156" spans="2:14" ht="15" thickBot="1">
      <c r="B156" s="84" t="s">
        <v>213</v>
      </c>
      <c r="C156" s="1295">
        <v>2815</v>
      </c>
      <c r="D156" s="46">
        <v>3459</v>
      </c>
      <c r="E156" s="46">
        <v>4958</v>
      </c>
      <c r="F156" s="46" t="s">
        <v>59</v>
      </c>
      <c r="G156" s="46" t="s">
        <v>59</v>
      </c>
      <c r="H156" s="46" t="s">
        <v>59</v>
      </c>
      <c r="I156" s="46">
        <v>9010</v>
      </c>
      <c r="J156" s="46">
        <v>8484</v>
      </c>
      <c r="K156" s="46">
        <v>9216</v>
      </c>
      <c r="L156" s="121"/>
      <c r="M156" s="121"/>
      <c r="N156" s="121"/>
    </row>
    <row r="157" spans="2:14" ht="15" thickBot="1">
      <c r="B157" s="84" t="s">
        <v>1490</v>
      </c>
      <c r="C157" s="89" t="s">
        <v>59</v>
      </c>
      <c r="D157" s="46" t="s">
        <v>59</v>
      </c>
      <c r="E157" s="46" t="s">
        <v>59</v>
      </c>
      <c r="F157" s="46" t="s">
        <v>59</v>
      </c>
      <c r="G157" s="46" t="s">
        <v>59</v>
      </c>
      <c r="H157" s="46" t="s">
        <v>59</v>
      </c>
      <c r="I157" s="46">
        <v>896</v>
      </c>
      <c r="J157" s="46">
        <v>797</v>
      </c>
      <c r="K157" s="46">
        <v>624</v>
      </c>
      <c r="L157" s="121"/>
      <c r="M157" s="121"/>
      <c r="N157" s="121"/>
    </row>
    <row r="158" spans="2:14" ht="15" thickBot="1">
      <c r="B158" s="84" t="s">
        <v>1491</v>
      </c>
      <c r="C158" s="89" t="s">
        <v>59</v>
      </c>
      <c r="D158" s="46">
        <v>21188</v>
      </c>
      <c r="E158" s="46">
        <v>24834</v>
      </c>
      <c r="F158" s="46">
        <v>22142</v>
      </c>
      <c r="G158" s="46">
        <v>24584</v>
      </c>
      <c r="H158" s="46">
        <v>29650</v>
      </c>
      <c r="I158" s="46">
        <v>33319</v>
      </c>
      <c r="J158" s="46">
        <v>32385</v>
      </c>
      <c r="K158" s="46">
        <v>32209</v>
      </c>
      <c r="L158" s="121"/>
      <c r="M158" s="121"/>
      <c r="N158" s="121"/>
    </row>
    <row r="159" spans="2:14">
      <c r="B159" s="10" t="s">
        <v>1949</v>
      </c>
    </row>
    <row r="160" spans="2:14">
      <c r="B160" s="687" t="s">
        <v>1481</v>
      </c>
    </row>
    <row r="161" spans="2:22">
      <c r="B161" s="92"/>
    </row>
    <row r="162" spans="2:22" ht="15.6">
      <c r="B162" s="83" t="s">
        <v>1492</v>
      </c>
    </row>
    <row r="163" spans="2:22">
      <c r="B163" s="93" t="s">
        <v>1493</v>
      </c>
    </row>
    <row r="164" spans="2:22" ht="15" customHeight="1">
      <c r="B164" s="85"/>
      <c r="C164" s="1559" t="s">
        <v>1494</v>
      </c>
      <c r="D164" s="1559"/>
      <c r="E164" s="1559"/>
      <c r="F164" s="1559"/>
      <c r="G164" s="1559"/>
      <c r="H164" s="1559"/>
      <c r="I164" s="1559"/>
      <c r="J164" s="1559"/>
      <c r="K164" s="1559"/>
      <c r="L164" s="1559"/>
      <c r="M164" s="1559" t="s">
        <v>1495</v>
      </c>
      <c r="N164" s="1559"/>
      <c r="O164" s="1559"/>
      <c r="P164" s="1559"/>
      <c r="Q164" s="1559"/>
      <c r="R164" s="1559"/>
      <c r="S164" s="1559"/>
      <c r="T164" s="1559"/>
      <c r="U164" s="72"/>
      <c r="V164" s="72"/>
    </row>
    <row r="165" spans="2:22">
      <c r="B165" s="85"/>
      <c r="C165" s="85">
        <v>2023</v>
      </c>
      <c r="D165" s="115">
        <v>2022</v>
      </c>
      <c r="E165" s="115">
        <v>2021</v>
      </c>
      <c r="F165" s="115">
        <v>2020</v>
      </c>
      <c r="G165" s="115">
        <v>2019</v>
      </c>
      <c r="H165" s="115">
        <v>2018</v>
      </c>
      <c r="I165" s="115">
        <v>2015</v>
      </c>
      <c r="J165" s="115">
        <v>2014</v>
      </c>
      <c r="K165" s="115">
        <v>2013</v>
      </c>
      <c r="L165" s="115">
        <v>2023</v>
      </c>
      <c r="M165" s="115">
        <v>2022</v>
      </c>
      <c r="N165" s="115">
        <v>2021</v>
      </c>
      <c r="O165" s="115">
        <v>2020</v>
      </c>
      <c r="P165" s="115">
        <v>2019</v>
      </c>
      <c r="Q165" s="115">
        <v>2018</v>
      </c>
      <c r="R165" s="115">
        <v>2015</v>
      </c>
      <c r="S165" s="115">
        <v>2014</v>
      </c>
      <c r="T165" s="115">
        <v>2013</v>
      </c>
      <c r="U165" s="94"/>
    </row>
    <row r="166" spans="2:22" ht="15" thickBot="1">
      <c r="B166" s="84" t="s">
        <v>120</v>
      </c>
      <c r="C166" s="1142">
        <v>20770</v>
      </c>
      <c r="D166" s="46">
        <v>25134</v>
      </c>
      <c r="E166" s="46">
        <v>17915</v>
      </c>
      <c r="F166" s="46">
        <v>17411</v>
      </c>
      <c r="G166" s="46">
        <v>19044</v>
      </c>
      <c r="H166" s="46">
        <v>20546</v>
      </c>
      <c r="I166" s="46">
        <v>19393</v>
      </c>
      <c r="J166" s="46">
        <v>19085</v>
      </c>
      <c r="K166" s="46">
        <v>18934</v>
      </c>
      <c r="L166" s="1142">
        <v>11886</v>
      </c>
      <c r="M166" s="46">
        <v>14544</v>
      </c>
      <c r="N166" s="46">
        <v>17081</v>
      </c>
      <c r="O166" s="46">
        <v>16916</v>
      </c>
      <c r="P166" s="46">
        <v>18633</v>
      </c>
      <c r="Q166" s="46">
        <v>14142</v>
      </c>
      <c r="R166" s="46">
        <v>16983</v>
      </c>
      <c r="S166" s="46">
        <v>14474</v>
      </c>
      <c r="T166" s="46">
        <v>12750</v>
      </c>
      <c r="U166" s="121"/>
    </row>
    <row r="167" spans="2:22" ht="15" thickBot="1">
      <c r="B167" s="84" t="s">
        <v>148</v>
      </c>
      <c r="C167" s="1142">
        <v>8803</v>
      </c>
      <c r="D167" s="46">
        <v>10757</v>
      </c>
      <c r="E167" s="46">
        <v>10267</v>
      </c>
      <c r="F167" s="46">
        <v>8843</v>
      </c>
      <c r="G167" s="46">
        <v>9422</v>
      </c>
      <c r="H167" s="46">
        <v>8479</v>
      </c>
      <c r="I167" s="46">
        <v>6509</v>
      </c>
      <c r="J167" s="46">
        <v>6338</v>
      </c>
      <c r="K167" s="46">
        <v>6610</v>
      </c>
      <c r="L167" s="1142">
        <v>25306</v>
      </c>
      <c r="M167" s="46">
        <v>29756</v>
      </c>
      <c r="N167" s="46">
        <v>30764</v>
      </c>
      <c r="O167" s="46">
        <v>26590</v>
      </c>
      <c r="P167" s="46">
        <v>27071</v>
      </c>
      <c r="Q167" s="46">
        <v>25720</v>
      </c>
      <c r="R167" s="46">
        <v>25459</v>
      </c>
      <c r="S167" s="46">
        <v>27263</v>
      </c>
      <c r="T167" s="46">
        <v>26797</v>
      </c>
      <c r="U167" s="121"/>
    </row>
    <row r="168" spans="2:22" ht="15" thickBot="1">
      <c r="B168" s="84" t="s">
        <v>1496</v>
      </c>
      <c r="C168" s="1142">
        <v>2033</v>
      </c>
      <c r="D168" s="46">
        <v>2211</v>
      </c>
      <c r="E168" s="46">
        <v>2256</v>
      </c>
      <c r="F168" s="46">
        <v>4226</v>
      </c>
      <c r="G168" s="46">
        <v>4125</v>
      </c>
      <c r="H168" s="46">
        <v>8353</v>
      </c>
      <c r="I168" s="46">
        <v>6341</v>
      </c>
      <c r="J168" s="46">
        <v>7751</v>
      </c>
      <c r="K168" s="46">
        <v>5976</v>
      </c>
      <c r="L168" s="1142">
        <v>1698</v>
      </c>
      <c r="M168" s="46">
        <v>1969</v>
      </c>
      <c r="N168" s="46">
        <v>1779</v>
      </c>
      <c r="O168" s="46">
        <v>2003</v>
      </c>
      <c r="P168" s="46">
        <v>1732</v>
      </c>
      <c r="Q168" s="46">
        <v>2478</v>
      </c>
      <c r="R168" s="46">
        <v>1784</v>
      </c>
      <c r="S168" s="46">
        <v>934</v>
      </c>
      <c r="T168" s="46">
        <v>2750</v>
      </c>
      <c r="U168" s="121"/>
    </row>
    <row r="169" spans="2:22" ht="15" thickBot="1">
      <c r="B169" s="84" t="s">
        <v>1203</v>
      </c>
      <c r="C169" s="1142">
        <v>8596</v>
      </c>
      <c r="D169" s="46">
        <v>8669</v>
      </c>
      <c r="E169" s="46">
        <v>9254</v>
      </c>
      <c r="F169" s="46">
        <v>9768</v>
      </c>
      <c r="G169" s="46">
        <v>7361</v>
      </c>
      <c r="H169" s="46">
        <v>6347</v>
      </c>
      <c r="I169" s="46">
        <v>5548</v>
      </c>
      <c r="J169" s="46">
        <v>5018</v>
      </c>
      <c r="K169" s="46">
        <v>4623</v>
      </c>
      <c r="L169" s="1142">
        <v>8898</v>
      </c>
      <c r="M169" s="46">
        <v>8898</v>
      </c>
      <c r="N169" s="46">
        <v>10153</v>
      </c>
      <c r="O169" s="46">
        <v>9169</v>
      </c>
      <c r="P169" s="46">
        <v>9443</v>
      </c>
      <c r="Q169" s="46">
        <v>16502</v>
      </c>
      <c r="R169" s="46">
        <v>16865</v>
      </c>
      <c r="S169" s="46">
        <v>10791</v>
      </c>
      <c r="T169" s="46">
        <v>11013</v>
      </c>
      <c r="U169" s="121"/>
    </row>
    <row r="170" spans="2:22" ht="15" thickBot="1">
      <c r="B170" s="84" t="s">
        <v>1497</v>
      </c>
      <c r="C170" s="1142">
        <v>2603</v>
      </c>
      <c r="D170" s="46">
        <v>3006</v>
      </c>
      <c r="E170" s="46">
        <v>2822</v>
      </c>
      <c r="F170" s="46">
        <v>2553</v>
      </c>
      <c r="G170" s="46">
        <v>2303</v>
      </c>
      <c r="H170" s="46">
        <v>2185</v>
      </c>
      <c r="I170" s="46">
        <v>457</v>
      </c>
      <c r="J170" s="46">
        <v>1239</v>
      </c>
      <c r="K170" s="46">
        <v>613</v>
      </c>
      <c r="L170" s="1142">
        <v>4570</v>
      </c>
      <c r="M170" s="46">
        <v>6533</v>
      </c>
      <c r="N170" s="46">
        <v>5762</v>
      </c>
      <c r="O170" s="46">
        <v>3630</v>
      </c>
      <c r="P170" s="46">
        <v>5234</v>
      </c>
      <c r="Q170" s="46">
        <v>5495</v>
      </c>
      <c r="R170" s="46">
        <v>4119</v>
      </c>
      <c r="S170" s="46">
        <v>4673</v>
      </c>
      <c r="T170" s="46">
        <v>5343</v>
      </c>
      <c r="U170" s="121"/>
    </row>
    <row r="171" spans="2:22" ht="15" thickBot="1">
      <c r="B171" s="84" t="s">
        <v>1498</v>
      </c>
      <c r="C171" s="1298" t="s">
        <v>59</v>
      </c>
      <c r="D171" s="46" t="s">
        <v>59</v>
      </c>
      <c r="E171" s="46" t="s">
        <v>59</v>
      </c>
      <c r="F171" s="46" t="s">
        <v>59</v>
      </c>
      <c r="G171" s="46" t="s">
        <v>59</v>
      </c>
      <c r="H171" s="46" t="s">
        <v>59</v>
      </c>
      <c r="I171" s="46">
        <v>2641</v>
      </c>
      <c r="J171" s="46">
        <v>2595</v>
      </c>
      <c r="K171" s="46">
        <v>2572</v>
      </c>
      <c r="L171" s="1298" t="s">
        <v>59</v>
      </c>
      <c r="M171" s="46" t="s">
        <v>59</v>
      </c>
      <c r="N171" s="46" t="s">
        <v>59</v>
      </c>
      <c r="O171" s="46" t="s">
        <v>59</v>
      </c>
      <c r="P171" s="46" t="s">
        <v>59</v>
      </c>
      <c r="Q171" s="46" t="s">
        <v>59</v>
      </c>
      <c r="R171" s="46">
        <v>8</v>
      </c>
      <c r="S171" s="46">
        <v>9</v>
      </c>
      <c r="T171" s="46">
        <v>33</v>
      </c>
      <c r="U171" s="121"/>
    </row>
    <row r="172" spans="2:22" ht="15" thickBot="1">
      <c r="B172" s="84" t="s">
        <v>1499</v>
      </c>
      <c r="C172" s="1298" t="s">
        <v>59</v>
      </c>
      <c r="D172" s="46" t="s">
        <v>59</v>
      </c>
      <c r="E172" s="46" t="s">
        <v>59</v>
      </c>
      <c r="F172" s="46" t="s">
        <v>59</v>
      </c>
      <c r="G172" s="46" t="s">
        <v>59</v>
      </c>
      <c r="H172" s="46" t="s">
        <v>59</v>
      </c>
      <c r="I172" s="46">
        <v>103</v>
      </c>
      <c r="J172" s="46">
        <v>22</v>
      </c>
      <c r="K172" s="46">
        <v>1109</v>
      </c>
      <c r="L172" s="1298" t="s">
        <v>59</v>
      </c>
      <c r="M172" s="46" t="s">
        <v>59</v>
      </c>
      <c r="N172" s="46" t="s">
        <v>59</v>
      </c>
      <c r="O172" s="46"/>
      <c r="P172" s="46" t="s">
        <v>59</v>
      </c>
      <c r="Q172" s="46" t="s">
        <v>59</v>
      </c>
      <c r="R172" s="46">
        <v>3587</v>
      </c>
      <c r="S172" s="46">
        <v>4063</v>
      </c>
      <c r="T172" s="46">
        <v>3313</v>
      </c>
      <c r="U172" s="121"/>
    </row>
    <row r="173" spans="2:22" ht="15" thickBot="1">
      <c r="B173" s="84" t="s">
        <v>1301</v>
      </c>
      <c r="C173" s="1298">
        <v>591</v>
      </c>
      <c r="D173" s="46">
        <v>1468</v>
      </c>
      <c r="E173" s="46">
        <v>1478</v>
      </c>
      <c r="F173" s="46">
        <v>499</v>
      </c>
      <c r="G173" s="46">
        <v>590</v>
      </c>
      <c r="H173" s="46">
        <v>1098</v>
      </c>
      <c r="I173" s="46">
        <v>155</v>
      </c>
      <c r="J173" s="46">
        <v>785</v>
      </c>
      <c r="K173" s="46">
        <v>295</v>
      </c>
      <c r="L173" s="1298">
        <v>4479</v>
      </c>
      <c r="M173" s="46">
        <v>4642</v>
      </c>
      <c r="N173" s="46">
        <v>5178</v>
      </c>
      <c r="O173" s="46">
        <v>4253</v>
      </c>
      <c r="P173" s="46">
        <v>4420</v>
      </c>
      <c r="Q173" s="46">
        <v>5525</v>
      </c>
      <c r="R173" s="46">
        <v>5370</v>
      </c>
      <c r="S173" s="46">
        <v>5099</v>
      </c>
      <c r="T173" s="46">
        <v>5901</v>
      </c>
      <c r="U173" s="121"/>
    </row>
    <row r="174" spans="2:22" ht="15" thickBot="1">
      <c r="B174" s="84" t="s">
        <v>1500</v>
      </c>
      <c r="C174" s="1298">
        <v>18975</v>
      </c>
      <c r="D174" s="46">
        <v>22838</v>
      </c>
      <c r="E174" s="46">
        <v>26036</v>
      </c>
      <c r="F174" s="46">
        <v>29665</v>
      </c>
      <c r="G174" s="46">
        <v>42530</v>
      </c>
      <c r="H174" s="46">
        <v>31310</v>
      </c>
      <c r="I174" s="46">
        <v>23575</v>
      </c>
      <c r="J174" s="46">
        <v>25569</v>
      </c>
      <c r="K174" s="46">
        <v>24868</v>
      </c>
      <c r="L174" s="1298">
        <v>21364</v>
      </c>
      <c r="M174" s="46">
        <v>19645</v>
      </c>
      <c r="N174" s="46">
        <v>25230</v>
      </c>
      <c r="O174" s="46">
        <v>33390</v>
      </c>
      <c r="P174" s="46">
        <v>47806</v>
      </c>
      <c r="Q174" s="46">
        <v>40991</v>
      </c>
      <c r="R174" s="46">
        <v>29889</v>
      </c>
      <c r="S174" s="46">
        <v>32190</v>
      </c>
      <c r="T174" s="46">
        <v>26835</v>
      </c>
      <c r="U174" s="121"/>
    </row>
    <row r="175" spans="2:22" ht="15" thickBot="1">
      <c r="B175" s="84" t="s">
        <v>1501</v>
      </c>
      <c r="C175" s="1298" t="s">
        <v>59</v>
      </c>
      <c r="D175" s="46" t="s">
        <v>59</v>
      </c>
      <c r="E175" s="46" t="s">
        <v>59</v>
      </c>
      <c r="F175" s="46" t="s">
        <v>59</v>
      </c>
      <c r="G175" s="46" t="s">
        <v>59</v>
      </c>
      <c r="H175" s="46" t="s">
        <v>59</v>
      </c>
      <c r="I175" s="46" t="s">
        <v>59</v>
      </c>
      <c r="J175" s="46" t="s">
        <v>59</v>
      </c>
      <c r="K175" s="46" t="s">
        <v>59</v>
      </c>
      <c r="L175" s="1298" t="s">
        <v>59</v>
      </c>
      <c r="M175" s="46" t="s">
        <v>59</v>
      </c>
      <c r="N175" s="46" t="s">
        <v>59</v>
      </c>
      <c r="O175" s="46">
        <v>12887</v>
      </c>
      <c r="P175" s="46">
        <v>10865</v>
      </c>
      <c r="Q175" s="46">
        <v>13071</v>
      </c>
      <c r="R175" s="46">
        <v>11556</v>
      </c>
      <c r="S175" s="46">
        <v>10199</v>
      </c>
      <c r="T175" s="46">
        <v>11493</v>
      </c>
      <c r="U175" s="121"/>
    </row>
    <row r="176" spans="2:22">
      <c r="B176" s="10" t="s">
        <v>1949</v>
      </c>
    </row>
    <row r="177" spans="2:38">
      <c r="B177" s="687" t="s">
        <v>1481</v>
      </c>
    </row>
    <row r="178" spans="2:38">
      <c r="B178" s="92"/>
    </row>
    <row r="179" spans="2:38">
      <c r="B179" s="92"/>
    </row>
    <row r="180" spans="2:38" ht="15.6">
      <c r="B180" s="86" t="s">
        <v>1502</v>
      </c>
    </row>
    <row r="181" spans="2:38">
      <c r="B181" s="93" t="s">
        <v>1503</v>
      </c>
    </row>
    <row r="182" spans="2:38" ht="14.55" customHeight="1">
      <c r="B182" s="1579"/>
      <c r="C182" s="1559" t="s">
        <v>1504</v>
      </c>
      <c r="D182" s="1559"/>
      <c r="E182" s="1559"/>
      <c r="F182" s="1559"/>
      <c r="G182" s="1559"/>
      <c r="H182" s="1559"/>
      <c r="I182" s="1559"/>
      <c r="J182" s="1559"/>
      <c r="K182" s="111"/>
      <c r="L182" s="1559" t="s">
        <v>1862</v>
      </c>
      <c r="M182" s="1538"/>
      <c r="N182" s="1538"/>
      <c r="O182" s="1538"/>
      <c r="P182" s="1538"/>
      <c r="Q182" s="1538"/>
      <c r="R182" s="1538"/>
      <c r="S182" s="1538"/>
      <c r="T182" s="1538"/>
      <c r="U182" s="1559" t="s">
        <v>1505</v>
      </c>
      <c r="V182" s="1577"/>
      <c r="W182" s="1577"/>
      <c r="X182" s="1577"/>
      <c r="Y182" s="1577"/>
      <c r="Z182" s="1577"/>
      <c r="AA182" s="1577"/>
      <c r="AB182" s="1577"/>
      <c r="AC182" s="1577"/>
      <c r="AD182" s="1576" t="s">
        <v>1506</v>
      </c>
      <c r="AE182" s="1576"/>
      <c r="AF182" s="1576"/>
      <c r="AG182" s="1576"/>
      <c r="AH182" s="1576"/>
      <c r="AI182" s="1576"/>
      <c r="AJ182" s="1576"/>
      <c r="AK182" s="1576"/>
      <c r="AL182" s="1576"/>
    </row>
    <row r="183" spans="2:38" ht="14.55" customHeight="1">
      <c r="B183" s="1579"/>
      <c r="C183" s="85"/>
      <c r="D183" s="85"/>
      <c r="E183" s="228"/>
      <c r="F183" s="228"/>
      <c r="G183" s="228"/>
      <c r="H183" s="228"/>
      <c r="I183" s="228"/>
      <c r="J183" s="228"/>
      <c r="K183" s="228"/>
      <c r="L183" s="228"/>
      <c r="M183" s="1559"/>
      <c r="N183" s="1559"/>
      <c r="O183" s="1559"/>
      <c r="P183" s="1559"/>
      <c r="Q183" s="1559"/>
      <c r="R183" s="1559"/>
      <c r="S183" s="85"/>
      <c r="T183" s="1125"/>
      <c r="U183" s="1578" t="s">
        <v>1929</v>
      </c>
      <c r="V183" s="1577"/>
      <c r="W183" s="1577"/>
      <c r="X183" s="1577"/>
      <c r="Y183" s="1577"/>
      <c r="Z183" s="1577"/>
      <c r="AA183" s="1577"/>
      <c r="AB183" s="1577"/>
      <c r="AC183" s="1577"/>
      <c r="AD183" s="1541" t="s">
        <v>1928</v>
      </c>
      <c r="AE183" s="1541"/>
      <c r="AF183" s="1541"/>
      <c r="AG183" s="1541"/>
      <c r="AH183" s="1541"/>
      <c r="AI183" s="1541"/>
      <c r="AJ183" s="1541"/>
      <c r="AK183" s="1541"/>
      <c r="AL183" s="1541"/>
    </row>
    <row r="184" spans="2:38">
      <c r="B184" s="1579"/>
      <c r="C184" s="85">
        <v>2023</v>
      </c>
      <c r="D184" s="115">
        <v>2022</v>
      </c>
      <c r="E184" s="115">
        <v>2021</v>
      </c>
      <c r="F184" s="115">
        <v>2020</v>
      </c>
      <c r="G184" s="115">
        <v>2019</v>
      </c>
      <c r="H184" s="115">
        <v>2018</v>
      </c>
      <c r="I184" s="115">
        <v>2015</v>
      </c>
      <c r="J184" s="115">
        <v>2014</v>
      </c>
      <c r="K184" s="115">
        <v>2013</v>
      </c>
      <c r="L184" s="115">
        <v>2023</v>
      </c>
      <c r="M184" s="115">
        <v>2022</v>
      </c>
      <c r="N184" s="115">
        <v>2021</v>
      </c>
      <c r="O184" s="115">
        <v>2020</v>
      </c>
      <c r="P184" s="115">
        <v>2019</v>
      </c>
      <c r="Q184" s="115">
        <v>2018</v>
      </c>
      <c r="R184" s="115">
        <v>2015</v>
      </c>
      <c r="S184" s="115">
        <v>2014</v>
      </c>
      <c r="T184" s="115">
        <v>2013</v>
      </c>
      <c r="U184" s="115">
        <v>2023</v>
      </c>
      <c r="V184" s="115">
        <v>2022</v>
      </c>
      <c r="W184" s="115">
        <v>2021</v>
      </c>
      <c r="X184" s="115">
        <v>2020</v>
      </c>
      <c r="Y184" s="115">
        <v>2019</v>
      </c>
      <c r="Z184" s="115">
        <v>2018</v>
      </c>
      <c r="AA184" s="115">
        <v>2015</v>
      </c>
      <c r="AB184" s="115">
        <v>2014</v>
      </c>
      <c r="AC184" s="115">
        <v>2013</v>
      </c>
      <c r="AD184" s="115">
        <v>2023</v>
      </c>
      <c r="AE184" s="115">
        <v>2022</v>
      </c>
      <c r="AF184" s="115">
        <v>2021</v>
      </c>
      <c r="AG184" s="115">
        <v>2020</v>
      </c>
      <c r="AH184" s="115">
        <v>2019</v>
      </c>
      <c r="AI184" s="115">
        <v>2018</v>
      </c>
      <c r="AJ184" s="115">
        <v>2015</v>
      </c>
      <c r="AK184" s="115">
        <v>2014</v>
      </c>
      <c r="AL184" s="115">
        <v>2013</v>
      </c>
    </row>
    <row r="185" spans="2:38" ht="15" thickBot="1">
      <c r="B185" s="84" t="s">
        <v>269</v>
      </c>
      <c r="C185" s="1298" t="s">
        <v>59</v>
      </c>
      <c r="D185" s="46">
        <v>7085</v>
      </c>
      <c r="E185" s="46">
        <v>7740</v>
      </c>
      <c r="F185" s="46">
        <v>6416</v>
      </c>
      <c r="G185" s="46">
        <v>6044</v>
      </c>
      <c r="H185" s="46">
        <v>5751</v>
      </c>
      <c r="I185" s="46">
        <v>6448</v>
      </c>
      <c r="J185" s="46">
        <v>6896</v>
      </c>
      <c r="K185" s="46">
        <v>6581</v>
      </c>
      <c r="L185" s="222" t="s">
        <v>59</v>
      </c>
      <c r="M185" s="46">
        <v>7277</v>
      </c>
      <c r="N185" s="46">
        <v>8158</v>
      </c>
      <c r="O185" s="46">
        <v>5996</v>
      </c>
      <c r="P185" s="46">
        <v>5612</v>
      </c>
      <c r="Q185" s="46">
        <v>6154</v>
      </c>
      <c r="R185" s="46">
        <v>5294</v>
      </c>
      <c r="S185" s="46">
        <v>5557</v>
      </c>
      <c r="T185" s="46">
        <v>4986</v>
      </c>
      <c r="U185" s="222" t="s">
        <v>59</v>
      </c>
      <c r="V185" s="46">
        <v>20661</v>
      </c>
      <c r="W185" s="46">
        <v>21391</v>
      </c>
      <c r="X185" s="46">
        <v>16984</v>
      </c>
      <c r="Y185" s="46">
        <v>17989</v>
      </c>
      <c r="Z185" s="46">
        <v>16681</v>
      </c>
      <c r="AA185" s="46">
        <v>17664</v>
      </c>
      <c r="AB185" s="46">
        <v>17627</v>
      </c>
      <c r="AC185" s="46">
        <v>18713</v>
      </c>
      <c r="AD185" s="222" t="s">
        <v>59</v>
      </c>
      <c r="AE185" s="46">
        <v>8008</v>
      </c>
      <c r="AF185" s="46">
        <v>9206</v>
      </c>
      <c r="AG185" s="46">
        <v>9332</v>
      </c>
      <c r="AH185" s="46">
        <v>10443</v>
      </c>
      <c r="AI185" s="46">
        <v>10173</v>
      </c>
      <c r="AJ185" s="46">
        <v>7815</v>
      </c>
      <c r="AK185" s="46">
        <v>7763</v>
      </c>
      <c r="AL185" s="46">
        <v>8251</v>
      </c>
    </row>
    <row r="186" spans="2:38" ht="15" thickBot="1">
      <c r="B186" s="84" t="s">
        <v>1507</v>
      </c>
      <c r="C186" s="1297">
        <v>6485</v>
      </c>
      <c r="D186" s="46">
        <v>6864</v>
      </c>
      <c r="E186" s="46">
        <v>7148</v>
      </c>
      <c r="F186" s="46">
        <v>5495</v>
      </c>
      <c r="G186" s="46">
        <v>5420</v>
      </c>
      <c r="H186" s="46">
        <v>5269</v>
      </c>
      <c r="I186" s="46">
        <v>6297</v>
      </c>
      <c r="J186" s="46">
        <v>7272</v>
      </c>
      <c r="K186" s="46">
        <v>6369</v>
      </c>
      <c r="L186" s="222">
        <v>1719</v>
      </c>
      <c r="M186" s="46">
        <v>1649</v>
      </c>
      <c r="N186" s="1121" t="s">
        <v>1856</v>
      </c>
      <c r="O186" s="46">
        <v>1299</v>
      </c>
      <c r="P186" s="46">
        <v>1065</v>
      </c>
      <c r="Q186" s="46">
        <v>1077</v>
      </c>
      <c r="R186" s="46">
        <v>1111</v>
      </c>
      <c r="S186" s="46">
        <v>1182</v>
      </c>
      <c r="T186" s="46">
        <v>1085</v>
      </c>
      <c r="U186" s="222">
        <v>22759</v>
      </c>
      <c r="V186" s="46">
        <v>25700</v>
      </c>
      <c r="W186" s="46">
        <v>28653</v>
      </c>
      <c r="X186" s="46">
        <v>17616</v>
      </c>
      <c r="Y186" s="46">
        <v>14777</v>
      </c>
      <c r="Z186" s="46">
        <v>14732</v>
      </c>
      <c r="AA186" s="46">
        <v>23029</v>
      </c>
      <c r="AB186" s="46">
        <v>22813</v>
      </c>
      <c r="AC186" s="46">
        <v>21953</v>
      </c>
      <c r="AD186" s="222">
        <v>9745</v>
      </c>
      <c r="AE186" s="46">
        <v>11036</v>
      </c>
      <c r="AF186" s="46">
        <v>11767</v>
      </c>
      <c r="AG186" s="46">
        <v>8200</v>
      </c>
      <c r="AH186" s="46">
        <v>8439</v>
      </c>
      <c r="AI186" s="46">
        <v>7522</v>
      </c>
      <c r="AJ186" s="46">
        <v>6418</v>
      </c>
      <c r="AK186" s="46">
        <v>6273</v>
      </c>
      <c r="AL186" s="46">
        <v>6155</v>
      </c>
    </row>
    <row r="187" spans="2:38" ht="15" thickBot="1">
      <c r="B187" s="84" t="s">
        <v>1508</v>
      </c>
      <c r="C187" s="1297">
        <v>4260</v>
      </c>
      <c r="D187" s="46">
        <v>4070</v>
      </c>
      <c r="E187" s="46">
        <v>4249</v>
      </c>
      <c r="F187" s="46">
        <v>4448</v>
      </c>
      <c r="G187" s="46">
        <v>3908</v>
      </c>
      <c r="H187" s="46">
        <v>4896</v>
      </c>
      <c r="I187" s="46">
        <v>4404</v>
      </c>
      <c r="J187" s="46">
        <v>4775</v>
      </c>
      <c r="K187" s="46">
        <v>5055</v>
      </c>
      <c r="L187" s="222">
        <v>1671</v>
      </c>
      <c r="M187" s="46">
        <v>1731</v>
      </c>
      <c r="N187" s="1121" t="s">
        <v>1857</v>
      </c>
      <c r="O187" s="46">
        <v>2037</v>
      </c>
      <c r="P187" s="46">
        <v>1747</v>
      </c>
      <c r="Q187" s="46">
        <v>2124</v>
      </c>
      <c r="R187" s="46">
        <v>2098</v>
      </c>
      <c r="S187" s="46">
        <v>2021</v>
      </c>
      <c r="T187" s="46">
        <v>2065</v>
      </c>
      <c r="U187" s="222">
        <v>10152</v>
      </c>
      <c r="V187" s="46">
        <v>11374</v>
      </c>
      <c r="W187" s="46">
        <v>11272</v>
      </c>
      <c r="X187" s="46">
        <v>10996</v>
      </c>
      <c r="Y187" s="46">
        <v>9031</v>
      </c>
      <c r="Z187" s="46">
        <v>7786</v>
      </c>
      <c r="AA187" s="46">
        <v>6754</v>
      </c>
      <c r="AB187" s="46">
        <v>7115</v>
      </c>
      <c r="AC187" s="46">
        <v>8825</v>
      </c>
      <c r="AD187" s="222">
        <v>2314</v>
      </c>
      <c r="AE187" s="46">
        <v>2531</v>
      </c>
      <c r="AF187" s="46">
        <v>3183</v>
      </c>
      <c r="AG187" s="46">
        <v>2894</v>
      </c>
      <c r="AH187" s="46">
        <v>2351</v>
      </c>
      <c r="AI187" s="46">
        <v>2104</v>
      </c>
      <c r="AJ187" s="46">
        <v>3614</v>
      </c>
      <c r="AK187" s="46">
        <v>3776</v>
      </c>
      <c r="AL187" s="46">
        <v>3629</v>
      </c>
    </row>
    <row r="188" spans="2:38" ht="15" thickBot="1">
      <c r="B188" s="84" t="s">
        <v>150</v>
      </c>
      <c r="C188" s="1297">
        <v>4619</v>
      </c>
      <c r="D188" s="46">
        <v>5194</v>
      </c>
      <c r="E188" s="46">
        <v>5366</v>
      </c>
      <c r="F188" s="46">
        <v>3970</v>
      </c>
      <c r="G188" s="46">
        <v>4158</v>
      </c>
      <c r="H188" s="46">
        <v>4240</v>
      </c>
      <c r="I188" s="46">
        <v>3819</v>
      </c>
      <c r="J188" s="46">
        <v>3970</v>
      </c>
      <c r="K188" s="46">
        <v>3758</v>
      </c>
      <c r="L188" s="222">
        <v>3851</v>
      </c>
      <c r="M188" s="46">
        <v>3878</v>
      </c>
      <c r="N188" s="1121" t="s">
        <v>1858</v>
      </c>
      <c r="O188" s="46">
        <v>2248</v>
      </c>
      <c r="P188" s="46">
        <v>2066</v>
      </c>
      <c r="Q188" s="46">
        <v>1954</v>
      </c>
      <c r="R188" s="46">
        <v>1960</v>
      </c>
      <c r="S188" s="46">
        <v>1849</v>
      </c>
      <c r="T188" s="46">
        <v>2016</v>
      </c>
      <c r="U188" s="222">
        <v>21420</v>
      </c>
      <c r="V188" s="46">
        <v>24664</v>
      </c>
      <c r="W188" s="46">
        <v>19155</v>
      </c>
      <c r="X188" s="46">
        <v>13958</v>
      </c>
      <c r="Y188" s="46">
        <v>13189</v>
      </c>
      <c r="Z188" s="46">
        <v>16923</v>
      </c>
      <c r="AA188" s="46">
        <v>16853</v>
      </c>
      <c r="AB188" s="46">
        <v>16901</v>
      </c>
      <c r="AC188" s="46">
        <v>18296</v>
      </c>
      <c r="AD188" s="222">
        <v>8154</v>
      </c>
      <c r="AE188" s="46">
        <v>9135</v>
      </c>
      <c r="AF188" s="46">
        <v>5923</v>
      </c>
      <c r="AG188" s="46">
        <v>5245</v>
      </c>
      <c r="AH188" s="46">
        <v>5322</v>
      </c>
      <c r="AI188" s="46">
        <v>5958</v>
      </c>
      <c r="AJ188" s="46">
        <v>4757</v>
      </c>
      <c r="AK188" s="46">
        <v>3619</v>
      </c>
      <c r="AL188" s="46">
        <v>4118</v>
      </c>
    </row>
    <row r="189" spans="2:38" ht="15" thickBot="1">
      <c r="B189" s="84" t="s">
        <v>267</v>
      </c>
      <c r="C189" s="1297">
        <v>4317</v>
      </c>
      <c r="D189" s="46">
        <v>4302</v>
      </c>
      <c r="E189" s="46">
        <v>4756</v>
      </c>
      <c r="F189" s="46">
        <v>3892</v>
      </c>
      <c r="G189" s="46">
        <v>3717</v>
      </c>
      <c r="H189" s="46">
        <v>3495</v>
      </c>
      <c r="I189" s="46">
        <v>3587</v>
      </c>
      <c r="J189" s="46">
        <v>3671</v>
      </c>
      <c r="K189" s="46">
        <v>3488</v>
      </c>
      <c r="L189" s="222">
        <v>134</v>
      </c>
      <c r="M189" s="46">
        <v>139</v>
      </c>
      <c r="N189" s="1121">
        <v>240</v>
      </c>
      <c r="O189" s="46">
        <v>129</v>
      </c>
      <c r="P189" s="46">
        <v>145</v>
      </c>
      <c r="Q189" s="46">
        <v>192</v>
      </c>
      <c r="R189" s="46">
        <v>139</v>
      </c>
      <c r="S189" s="46">
        <v>137</v>
      </c>
      <c r="T189" s="46">
        <v>117</v>
      </c>
      <c r="U189" s="222">
        <v>9227</v>
      </c>
      <c r="V189" s="46">
        <v>11480</v>
      </c>
      <c r="W189" s="46">
        <v>12361</v>
      </c>
      <c r="X189" s="46">
        <v>6826</v>
      </c>
      <c r="Y189" s="46">
        <v>7868</v>
      </c>
      <c r="Z189" s="46">
        <v>8020</v>
      </c>
      <c r="AA189" s="46">
        <v>9100</v>
      </c>
      <c r="AB189" s="46">
        <v>9264</v>
      </c>
      <c r="AC189" s="46">
        <v>8637</v>
      </c>
      <c r="AD189" s="222">
        <v>2795</v>
      </c>
      <c r="AE189" s="46">
        <v>3214</v>
      </c>
      <c r="AF189" s="46">
        <v>2931</v>
      </c>
      <c r="AG189" s="46">
        <v>2178</v>
      </c>
      <c r="AH189" s="46">
        <v>2116</v>
      </c>
      <c r="AI189" s="46">
        <v>2357</v>
      </c>
      <c r="AJ189" s="46">
        <v>1745</v>
      </c>
      <c r="AK189" s="46">
        <v>1273</v>
      </c>
      <c r="AL189" s="46">
        <v>1819</v>
      </c>
    </row>
    <row r="190" spans="2:38" ht="15" thickBot="1">
      <c r="B190" s="84" t="s">
        <v>1509</v>
      </c>
      <c r="C190" s="1297">
        <v>300</v>
      </c>
      <c r="D190" s="46">
        <v>342</v>
      </c>
      <c r="E190" s="46">
        <v>408</v>
      </c>
      <c r="F190" s="46">
        <v>413</v>
      </c>
      <c r="G190" s="46">
        <v>388</v>
      </c>
      <c r="H190" s="46">
        <v>556</v>
      </c>
      <c r="I190" s="46">
        <v>248</v>
      </c>
      <c r="J190" s="46">
        <v>252</v>
      </c>
      <c r="K190" s="46">
        <v>325</v>
      </c>
      <c r="L190" s="222">
        <v>3875</v>
      </c>
      <c r="M190" s="46">
        <v>4123</v>
      </c>
      <c r="N190" s="1121" t="s">
        <v>1859</v>
      </c>
      <c r="O190" s="46">
        <v>3289</v>
      </c>
      <c r="P190" s="46">
        <v>3207</v>
      </c>
      <c r="Q190" s="46">
        <v>4005</v>
      </c>
      <c r="R190" s="46">
        <v>3310</v>
      </c>
      <c r="S190" s="46">
        <v>3320</v>
      </c>
      <c r="T190" s="46">
        <v>3126</v>
      </c>
      <c r="U190" s="222">
        <v>18787</v>
      </c>
      <c r="V190" s="46">
        <v>17836</v>
      </c>
      <c r="W190" s="46">
        <v>18238</v>
      </c>
      <c r="X190" s="46">
        <v>19829</v>
      </c>
      <c r="Y190" s="46">
        <v>20423</v>
      </c>
      <c r="Z190" s="46">
        <v>20587</v>
      </c>
      <c r="AA190" s="46">
        <v>19821</v>
      </c>
      <c r="AB190" s="46">
        <v>21093</v>
      </c>
      <c r="AC190" s="46">
        <v>20429</v>
      </c>
      <c r="AD190" s="222">
        <v>7707</v>
      </c>
      <c r="AE190" s="46">
        <v>9801</v>
      </c>
      <c r="AF190" s="46">
        <v>10686</v>
      </c>
      <c r="AG190" s="46">
        <v>9114</v>
      </c>
      <c r="AH190" s="46">
        <v>9562</v>
      </c>
      <c r="AI190" s="46">
        <v>11701</v>
      </c>
      <c r="AJ190" s="46">
        <v>11724</v>
      </c>
      <c r="AK190" s="46">
        <v>11119</v>
      </c>
      <c r="AL190" s="46">
        <v>11554</v>
      </c>
    </row>
    <row r="191" spans="2:38" ht="15" thickBot="1">
      <c r="B191" s="84" t="s">
        <v>1510</v>
      </c>
      <c r="C191" s="1298" t="s">
        <v>59</v>
      </c>
      <c r="D191" s="46">
        <v>698</v>
      </c>
      <c r="E191" s="46">
        <v>522</v>
      </c>
      <c r="F191" s="46">
        <v>500</v>
      </c>
      <c r="G191" s="46">
        <v>557</v>
      </c>
      <c r="H191" s="46">
        <v>547</v>
      </c>
      <c r="I191" s="46">
        <v>368</v>
      </c>
      <c r="J191" s="46">
        <v>625</v>
      </c>
      <c r="K191" s="46">
        <v>335</v>
      </c>
      <c r="L191" s="222" t="s">
        <v>59</v>
      </c>
      <c r="M191" s="46">
        <v>2350</v>
      </c>
      <c r="N191" s="1121" t="s">
        <v>1860</v>
      </c>
      <c r="O191" s="46">
        <v>2197</v>
      </c>
      <c r="P191" s="46">
        <v>2234</v>
      </c>
      <c r="Q191" s="46">
        <v>2123</v>
      </c>
      <c r="R191" s="46">
        <v>2388</v>
      </c>
      <c r="S191" s="46">
        <v>2294</v>
      </c>
      <c r="T191" s="46">
        <v>2254</v>
      </c>
      <c r="U191" s="222" t="s">
        <v>59</v>
      </c>
      <c r="V191" s="46">
        <v>11458</v>
      </c>
      <c r="W191" s="46">
        <v>11522</v>
      </c>
      <c r="X191" s="46">
        <v>10681</v>
      </c>
      <c r="Y191" s="46">
        <v>10104</v>
      </c>
      <c r="Z191" s="46">
        <v>13989</v>
      </c>
      <c r="AA191" s="46">
        <v>12864</v>
      </c>
      <c r="AB191" s="46">
        <v>12971</v>
      </c>
      <c r="AC191" s="46">
        <v>13325</v>
      </c>
      <c r="AD191" s="222">
        <v>2961</v>
      </c>
      <c r="AE191" s="46">
        <v>3536</v>
      </c>
      <c r="AF191" s="46">
        <v>3727</v>
      </c>
      <c r="AG191" s="46">
        <v>4003</v>
      </c>
      <c r="AH191" s="46">
        <v>3689</v>
      </c>
      <c r="AI191" s="46">
        <v>4679</v>
      </c>
      <c r="AJ191" s="46">
        <v>4024</v>
      </c>
      <c r="AK191" s="46">
        <v>4160</v>
      </c>
      <c r="AL191" s="46">
        <v>4045</v>
      </c>
    </row>
    <row r="192" spans="2:38" ht="15" thickBot="1">
      <c r="B192" s="84" t="s">
        <v>1511</v>
      </c>
      <c r="C192" s="1298" t="s">
        <v>59</v>
      </c>
      <c r="D192" s="46">
        <v>258</v>
      </c>
      <c r="E192" s="46">
        <v>316</v>
      </c>
      <c r="F192" s="46" t="s">
        <v>59</v>
      </c>
      <c r="G192" s="46" t="s">
        <v>59</v>
      </c>
      <c r="H192" s="46" t="s">
        <v>59</v>
      </c>
      <c r="I192" s="46">
        <v>425</v>
      </c>
      <c r="J192" s="46">
        <v>372</v>
      </c>
      <c r="K192" s="46">
        <v>475</v>
      </c>
      <c r="L192" s="222" t="s">
        <v>59</v>
      </c>
      <c r="M192" s="46">
        <v>390</v>
      </c>
      <c r="N192" s="1121">
        <v>357</v>
      </c>
      <c r="O192" s="46" t="s">
        <v>59</v>
      </c>
      <c r="P192" s="46" t="s">
        <v>59</v>
      </c>
      <c r="Q192" s="46" t="s">
        <v>59</v>
      </c>
      <c r="R192" s="46">
        <v>438</v>
      </c>
      <c r="S192" s="46">
        <v>460</v>
      </c>
      <c r="T192" s="46">
        <v>415</v>
      </c>
      <c r="U192" s="222" t="s">
        <v>59</v>
      </c>
      <c r="V192" s="46">
        <v>13022</v>
      </c>
      <c r="W192" s="46">
        <v>11178</v>
      </c>
      <c r="X192" s="46" t="s">
        <v>59</v>
      </c>
      <c r="Y192" s="46" t="s">
        <v>59</v>
      </c>
      <c r="Z192" s="46" t="s">
        <v>59</v>
      </c>
      <c r="AA192" s="46">
        <v>13336</v>
      </c>
      <c r="AB192" s="46">
        <v>17230</v>
      </c>
      <c r="AC192" s="46">
        <v>17825</v>
      </c>
      <c r="AD192" s="222">
        <v>694</v>
      </c>
      <c r="AE192" s="46">
        <v>2272</v>
      </c>
      <c r="AF192" s="46">
        <v>2295</v>
      </c>
      <c r="AG192" s="46" t="s">
        <v>59</v>
      </c>
      <c r="AH192" s="46" t="s">
        <v>59</v>
      </c>
      <c r="AI192" s="46" t="s">
        <v>59</v>
      </c>
      <c r="AJ192" s="46">
        <v>1119</v>
      </c>
      <c r="AK192" s="46">
        <v>340</v>
      </c>
      <c r="AL192" s="46">
        <v>393</v>
      </c>
    </row>
    <row r="193" spans="2:38" ht="15" thickBot="1">
      <c r="B193" s="84" t="s">
        <v>1512</v>
      </c>
      <c r="C193" s="1297">
        <v>15388</v>
      </c>
      <c r="D193" s="46">
        <v>17861</v>
      </c>
      <c r="E193" s="46">
        <v>17542</v>
      </c>
      <c r="F193" s="46">
        <v>14852</v>
      </c>
      <c r="G193" s="46">
        <v>13951</v>
      </c>
      <c r="H193" s="46">
        <v>14488</v>
      </c>
      <c r="I193" s="46">
        <v>14811</v>
      </c>
      <c r="J193" s="46">
        <v>14788</v>
      </c>
      <c r="K193" s="46">
        <v>16275</v>
      </c>
      <c r="L193" s="222">
        <v>15081</v>
      </c>
      <c r="M193" s="46">
        <v>16570</v>
      </c>
      <c r="N193" s="1121" t="s">
        <v>1861</v>
      </c>
      <c r="O193" s="46">
        <v>14448</v>
      </c>
      <c r="P193" s="46">
        <v>13839</v>
      </c>
      <c r="Q193" s="46">
        <v>15187</v>
      </c>
      <c r="R193" s="46">
        <v>15269</v>
      </c>
      <c r="S193" s="46">
        <v>13259</v>
      </c>
      <c r="T193" s="46">
        <v>14797</v>
      </c>
      <c r="U193" s="222">
        <v>114053</v>
      </c>
      <c r="V193" s="46">
        <v>117210</v>
      </c>
      <c r="W193" s="46">
        <v>129976</v>
      </c>
      <c r="X193" s="46">
        <v>116635</v>
      </c>
      <c r="Y193" s="46">
        <v>119166</v>
      </c>
      <c r="Z193" s="46">
        <v>115900</v>
      </c>
      <c r="AA193" s="46">
        <v>106082</v>
      </c>
      <c r="AB193" s="46">
        <v>98436</v>
      </c>
      <c r="AC193" s="46">
        <v>111363</v>
      </c>
      <c r="AD193" s="222">
        <v>67176</v>
      </c>
      <c r="AE193" s="46">
        <v>48242</v>
      </c>
      <c r="AF193" s="46">
        <v>78882</v>
      </c>
      <c r="AG193" s="46">
        <v>68357</v>
      </c>
      <c r="AH193" s="46">
        <v>53091</v>
      </c>
      <c r="AI193" s="46">
        <v>64616</v>
      </c>
      <c r="AJ193" s="46">
        <v>47534</v>
      </c>
      <c r="AK193" s="46">
        <v>45668</v>
      </c>
      <c r="AL193" s="46">
        <v>50025</v>
      </c>
    </row>
    <row r="194" spans="2:38" ht="15" thickBot="1">
      <c r="B194" s="84" t="s">
        <v>1513</v>
      </c>
      <c r="C194" s="1297">
        <v>3463</v>
      </c>
      <c r="D194" s="46">
        <v>3223</v>
      </c>
      <c r="E194" s="46">
        <v>3567</v>
      </c>
      <c r="F194" s="46">
        <v>4933</v>
      </c>
      <c r="G194" s="46">
        <v>3728</v>
      </c>
      <c r="H194" s="46">
        <v>7330</v>
      </c>
      <c r="I194" s="46">
        <v>5453</v>
      </c>
      <c r="J194" s="46">
        <v>4861</v>
      </c>
      <c r="K194" s="46">
        <v>4998</v>
      </c>
      <c r="L194" s="222">
        <v>227</v>
      </c>
      <c r="M194" s="46">
        <v>144</v>
      </c>
      <c r="N194" s="46">
        <v>136</v>
      </c>
      <c r="O194" s="46" t="s">
        <v>59</v>
      </c>
      <c r="P194" s="46" t="s">
        <v>59</v>
      </c>
      <c r="Q194" s="46" t="s">
        <v>59</v>
      </c>
      <c r="R194" s="46" t="s">
        <v>59</v>
      </c>
      <c r="S194" s="46" t="s">
        <v>59</v>
      </c>
      <c r="T194" s="46" t="s">
        <v>59</v>
      </c>
      <c r="U194" s="222">
        <v>17396</v>
      </c>
      <c r="V194" s="46" t="s">
        <v>59</v>
      </c>
      <c r="W194" s="46">
        <f>2425+15018+4286+24017+1213+11012+14169+1991</f>
        <v>74131</v>
      </c>
      <c r="X194" s="46">
        <v>62465</v>
      </c>
      <c r="Y194" s="46">
        <v>41170</v>
      </c>
      <c r="Z194" s="46">
        <v>37663</v>
      </c>
      <c r="AA194" s="46">
        <v>36402</v>
      </c>
      <c r="AB194" s="46">
        <v>44491</v>
      </c>
      <c r="AC194" s="46">
        <v>31816</v>
      </c>
      <c r="AD194" s="222">
        <v>23136</v>
      </c>
      <c r="AE194" s="46">
        <v>28681</v>
      </c>
      <c r="AF194" s="46">
        <f>7007+428+1623+62+3974+580+6933+173</f>
        <v>20780</v>
      </c>
      <c r="AG194" s="46">
        <v>16597</v>
      </c>
      <c r="AH194" s="46">
        <v>16943</v>
      </c>
      <c r="AI194" s="46">
        <v>7998</v>
      </c>
      <c r="AJ194" s="46">
        <v>8174</v>
      </c>
      <c r="AK194" s="46">
        <v>10531</v>
      </c>
      <c r="AL194" s="46">
        <v>10057</v>
      </c>
    </row>
    <row r="195" spans="2:38" ht="15" thickBot="1">
      <c r="B195" s="84" t="s">
        <v>1514</v>
      </c>
      <c r="C195" s="89" t="s">
        <v>59</v>
      </c>
      <c r="D195" s="46" t="s">
        <v>59</v>
      </c>
      <c r="E195" s="46" t="s">
        <v>59</v>
      </c>
      <c r="F195" s="46" t="s">
        <v>59</v>
      </c>
      <c r="G195" s="46" t="s">
        <v>59</v>
      </c>
      <c r="H195" s="46" t="s">
        <v>59</v>
      </c>
      <c r="I195" s="46" t="s">
        <v>59</v>
      </c>
      <c r="J195" s="46" t="s">
        <v>59</v>
      </c>
      <c r="K195" s="46" t="s">
        <v>59</v>
      </c>
      <c r="L195" s="222" t="s">
        <v>59</v>
      </c>
      <c r="M195" s="46" t="s">
        <v>59</v>
      </c>
      <c r="N195" s="46" t="s">
        <v>59</v>
      </c>
      <c r="O195" s="46" t="s">
        <v>59</v>
      </c>
      <c r="P195" s="46" t="s">
        <v>59</v>
      </c>
      <c r="Q195" s="46" t="s">
        <v>59</v>
      </c>
      <c r="R195" s="46" t="s">
        <v>59</v>
      </c>
      <c r="S195" s="46" t="s">
        <v>59</v>
      </c>
      <c r="T195" s="46" t="s">
        <v>59</v>
      </c>
      <c r="U195" s="222" t="s">
        <v>59</v>
      </c>
      <c r="V195" s="46" t="s">
        <v>59</v>
      </c>
      <c r="W195" s="46">
        <f>13875+763</f>
        <v>14638</v>
      </c>
      <c r="X195" s="46">
        <v>11259</v>
      </c>
      <c r="Y195" s="46">
        <v>10139</v>
      </c>
      <c r="Z195" s="46">
        <v>15810</v>
      </c>
      <c r="AA195" s="46">
        <v>9326</v>
      </c>
      <c r="AB195" s="46">
        <v>14727</v>
      </c>
      <c r="AC195" s="46">
        <v>15558</v>
      </c>
      <c r="AD195" s="222" t="s">
        <v>59</v>
      </c>
      <c r="AE195" s="46" t="s">
        <v>59</v>
      </c>
      <c r="AF195" s="46">
        <f>44604+3328</f>
        <v>47932</v>
      </c>
      <c r="AG195" s="46">
        <v>38432</v>
      </c>
      <c r="AH195" s="46">
        <v>31481</v>
      </c>
      <c r="AI195" s="46">
        <v>47211</v>
      </c>
      <c r="AJ195" s="46">
        <v>37885</v>
      </c>
      <c r="AK195" s="46">
        <v>33907</v>
      </c>
      <c r="AL195" s="46">
        <v>33176</v>
      </c>
    </row>
    <row r="196" spans="2:38">
      <c r="B196" s="10" t="s">
        <v>1949</v>
      </c>
    </row>
    <row r="197" spans="2:38">
      <c r="B197" s="687" t="s">
        <v>1481</v>
      </c>
    </row>
    <row r="198" spans="2:38">
      <c r="B198" s="92"/>
    </row>
    <row r="199" spans="2:38">
      <c r="B199" s="92"/>
    </row>
    <row r="200" spans="2:38" ht="15.6">
      <c r="B200" s="86" t="s">
        <v>1515</v>
      </c>
    </row>
    <row r="201" spans="2:38">
      <c r="B201" s="93" t="s">
        <v>1516</v>
      </c>
    </row>
    <row r="202" spans="2:38">
      <c r="B202" s="85" t="s">
        <v>1517</v>
      </c>
      <c r="C202" s="1557" t="s">
        <v>1518</v>
      </c>
      <c r="D202" s="1557"/>
      <c r="E202" s="1557"/>
      <c r="F202" s="1557"/>
      <c r="G202" s="1557"/>
      <c r="H202" s="1557"/>
      <c r="I202" s="1557"/>
      <c r="J202" s="1557"/>
      <c r="K202" s="1559" t="s">
        <v>1519</v>
      </c>
      <c r="L202" s="1581"/>
      <c r="M202" s="1581"/>
      <c r="N202" s="1581"/>
      <c r="O202" s="1581"/>
      <c r="P202" s="1581"/>
      <c r="Q202" s="1581"/>
      <c r="R202" s="1581"/>
      <c r="S202" s="1559" t="s">
        <v>1520</v>
      </c>
      <c r="T202" s="1558"/>
      <c r="U202" s="1558"/>
      <c r="V202" s="1558"/>
      <c r="W202" s="1558"/>
      <c r="X202" s="1558"/>
      <c r="Y202" s="1558"/>
      <c r="Z202" s="1558"/>
    </row>
    <row r="203" spans="2:38">
      <c r="B203" s="85"/>
      <c r="C203" s="85">
        <v>2023</v>
      </c>
      <c r="D203" s="115">
        <v>2022</v>
      </c>
      <c r="E203" s="115">
        <v>2021</v>
      </c>
      <c r="F203" s="115">
        <v>2020</v>
      </c>
      <c r="G203" s="115">
        <v>2019</v>
      </c>
      <c r="H203" s="115">
        <v>2018</v>
      </c>
      <c r="I203" s="115">
        <v>2015</v>
      </c>
      <c r="J203" s="115">
        <v>2014</v>
      </c>
      <c r="K203" s="115">
        <v>2023</v>
      </c>
      <c r="L203" s="115">
        <v>2022</v>
      </c>
      <c r="M203" s="115">
        <v>2021</v>
      </c>
      <c r="N203" s="115">
        <v>2020</v>
      </c>
      <c r="O203" s="115">
        <v>2019</v>
      </c>
      <c r="P203" s="115">
        <v>2018</v>
      </c>
      <c r="Q203" s="115">
        <v>2015</v>
      </c>
      <c r="R203" s="115">
        <v>2014</v>
      </c>
      <c r="S203" s="115">
        <v>2023</v>
      </c>
      <c r="T203" s="115">
        <v>2022</v>
      </c>
      <c r="U203" s="115">
        <v>2021</v>
      </c>
      <c r="V203" s="115">
        <v>2020</v>
      </c>
      <c r="W203" s="115">
        <v>2019</v>
      </c>
      <c r="X203" s="115">
        <v>2018</v>
      </c>
      <c r="Y203" s="115">
        <v>2015</v>
      </c>
      <c r="Z203" s="115">
        <v>2014</v>
      </c>
    </row>
    <row r="204" spans="2:38" ht="15" thickBot="1">
      <c r="B204" s="84" t="s">
        <v>1521</v>
      </c>
      <c r="C204" s="1297">
        <v>5045</v>
      </c>
      <c r="D204" s="46">
        <v>6318</v>
      </c>
      <c r="E204" s="46">
        <v>6333</v>
      </c>
      <c r="F204" s="46">
        <v>4885</v>
      </c>
      <c r="G204" s="46">
        <v>4562</v>
      </c>
      <c r="H204" s="46">
        <v>5128</v>
      </c>
      <c r="I204" s="46">
        <v>5195</v>
      </c>
      <c r="J204" s="46">
        <v>5362</v>
      </c>
      <c r="K204" s="222">
        <v>5249</v>
      </c>
      <c r="L204" s="46">
        <v>5446</v>
      </c>
      <c r="M204" s="46">
        <v>5979</v>
      </c>
      <c r="N204" s="46">
        <v>3924</v>
      </c>
      <c r="O204" s="46">
        <v>3955</v>
      </c>
      <c r="P204" s="46">
        <v>3521</v>
      </c>
      <c r="Q204" s="46">
        <v>4419</v>
      </c>
      <c r="R204" s="46">
        <v>3870</v>
      </c>
      <c r="S204" s="222">
        <v>541</v>
      </c>
      <c r="T204" s="46">
        <v>515</v>
      </c>
      <c r="U204" s="46">
        <v>579</v>
      </c>
      <c r="V204" s="46">
        <v>374</v>
      </c>
      <c r="W204" s="46">
        <v>397</v>
      </c>
      <c r="X204" s="46">
        <v>162</v>
      </c>
      <c r="Y204" s="46">
        <v>419</v>
      </c>
      <c r="Z204" s="46">
        <v>398</v>
      </c>
    </row>
    <row r="205" spans="2:38" ht="15" thickBot="1">
      <c r="B205" s="84" t="s">
        <v>1655</v>
      </c>
      <c r="C205" s="1297">
        <v>2021</v>
      </c>
      <c r="D205" s="46">
        <v>2147</v>
      </c>
      <c r="E205" s="46">
        <v>2594</v>
      </c>
      <c r="F205" s="121">
        <v>1352</v>
      </c>
      <c r="G205" s="121">
        <v>1248</v>
      </c>
      <c r="H205" s="121">
        <v>1673</v>
      </c>
      <c r="I205" s="121" t="s">
        <v>59</v>
      </c>
      <c r="J205" s="121" t="s">
        <v>59</v>
      </c>
      <c r="K205" s="222">
        <v>2544</v>
      </c>
      <c r="L205" s="46">
        <v>2613</v>
      </c>
      <c r="M205" s="46">
        <v>3415</v>
      </c>
      <c r="N205" s="121">
        <v>2547</v>
      </c>
      <c r="O205" s="121">
        <v>2366</v>
      </c>
      <c r="P205" s="121">
        <v>2483</v>
      </c>
      <c r="Q205" s="121" t="s">
        <v>59</v>
      </c>
      <c r="R205" s="121" t="s">
        <v>59</v>
      </c>
      <c r="S205" s="222">
        <v>217</v>
      </c>
      <c r="T205" s="46">
        <v>233</v>
      </c>
      <c r="U205" s="46">
        <v>179</v>
      </c>
      <c r="V205" s="46">
        <v>144</v>
      </c>
      <c r="W205" s="46">
        <v>152</v>
      </c>
      <c r="X205" s="46">
        <v>193</v>
      </c>
      <c r="Y205" s="121" t="s">
        <v>59</v>
      </c>
      <c r="Z205" s="121" t="s">
        <v>59</v>
      </c>
    </row>
    <row r="206" spans="2:38" ht="15" thickBot="1">
      <c r="B206" s="84" t="s">
        <v>1522</v>
      </c>
      <c r="C206" s="1297">
        <v>64088</v>
      </c>
      <c r="D206" s="46">
        <v>70086</v>
      </c>
      <c r="E206" s="46">
        <v>70323</v>
      </c>
      <c r="F206" s="188">
        <v>64401</v>
      </c>
      <c r="G206" s="188">
        <v>52825</v>
      </c>
      <c r="H206" s="188">
        <v>69491</v>
      </c>
      <c r="I206" s="188">
        <v>57666</v>
      </c>
      <c r="J206" s="188">
        <v>62508</v>
      </c>
      <c r="K206" s="222">
        <v>51028</v>
      </c>
      <c r="L206" s="46">
        <v>55995</v>
      </c>
      <c r="M206" s="46">
        <v>54042</v>
      </c>
      <c r="N206" s="188">
        <v>51708</v>
      </c>
      <c r="O206" s="188">
        <v>52653</v>
      </c>
      <c r="P206" s="188">
        <v>63028</v>
      </c>
      <c r="Q206" s="188">
        <v>62449</v>
      </c>
      <c r="R206" s="188">
        <v>60111</v>
      </c>
      <c r="S206" s="222">
        <v>4166</v>
      </c>
      <c r="T206" s="46">
        <v>5331</v>
      </c>
      <c r="U206" s="46">
        <v>4713</v>
      </c>
      <c r="V206" s="46">
        <v>5213</v>
      </c>
      <c r="W206" s="46">
        <v>6289</v>
      </c>
      <c r="X206" s="46">
        <v>14100</v>
      </c>
      <c r="Y206" s="188">
        <v>4271</v>
      </c>
      <c r="Z206" s="188">
        <v>5823</v>
      </c>
    </row>
    <row r="207" spans="2:38">
      <c r="B207" s="10" t="s">
        <v>1949</v>
      </c>
    </row>
    <row r="208" spans="2:38">
      <c r="B208" s="687" t="s">
        <v>1481</v>
      </c>
    </row>
    <row r="211" spans="2:18" ht="15.6">
      <c r="B211" s="86" t="s">
        <v>1832</v>
      </c>
    </row>
    <row r="213" spans="2:18">
      <c r="B213" t="s">
        <v>1523</v>
      </c>
      <c r="F213" t="s">
        <v>1524</v>
      </c>
      <c r="J213" t="s">
        <v>1525</v>
      </c>
      <c r="N213" t="s">
        <v>1526</v>
      </c>
    </row>
    <row r="214" spans="2:18">
      <c r="B214" t="s">
        <v>1943</v>
      </c>
      <c r="F214" t="s">
        <v>1945</v>
      </c>
      <c r="J214" t="s">
        <v>1946</v>
      </c>
      <c r="N214" t="s">
        <v>1947</v>
      </c>
    </row>
    <row r="216" spans="2:18">
      <c r="B216" s="159"/>
      <c r="C216" s="159"/>
      <c r="D216" s="159"/>
      <c r="F216" s="159"/>
      <c r="G216" s="159"/>
      <c r="H216" s="495"/>
      <c r="J216" s="159"/>
      <c r="K216" s="159"/>
      <c r="L216" s="495"/>
      <c r="N216" s="159"/>
      <c r="O216" s="159"/>
      <c r="P216" s="495"/>
    </row>
    <row r="217" spans="2:18">
      <c r="B217" s="159" t="s">
        <v>1527</v>
      </c>
      <c r="C217" s="1555" t="s">
        <v>817</v>
      </c>
      <c r="D217" s="1555"/>
      <c r="F217" s="159" t="s">
        <v>1528</v>
      </c>
      <c r="G217" s="1555" t="s">
        <v>817</v>
      </c>
      <c r="H217" s="1555"/>
      <c r="J217" s="159" t="s">
        <v>1529</v>
      </c>
      <c r="K217" s="1555" t="s">
        <v>817</v>
      </c>
      <c r="L217" s="1555"/>
      <c r="N217" s="159" t="s">
        <v>242</v>
      </c>
      <c r="O217" s="1555" t="s">
        <v>668</v>
      </c>
      <c r="P217" s="1555"/>
    </row>
    <row r="218" spans="2:18">
      <c r="B218" s="162"/>
      <c r="C218" s="162" t="s">
        <v>1530</v>
      </c>
      <c r="D218" s="162" t="s">
        <v>818</v>
      </c>
      <c r="E218" s="464"/>
      <c r="F218" s="162"/>
      <c r="G218" s="162" t="s">
        <v>1530</v>
      </c>
      <c r="H218" s="162" t="s">
        <v>818</v>
      </c>
      <c r="I218" s="464"/>
      <c r="J218" s="162"/>
      <c r="K218" s="162" t="s">
        <v>1530</v>
      </c>
      <c r="L218" s="162" t="s">
        <v>818</v>
      </c>
      <c r="M218" s="464"/>
      <c r="N218" s="162"/>
      <c r="O218" s="162" t="s">
        <v>1530</v>
      </c>
      <c r="P218" s="162" t="s">
        <v>818</v>
      </c>
      <c r="Q218" s="464"/>
      <c r="R218" s="464"/>
    </row>
    <row r="219" spans="2:18">
      <c r="B219" s="3" t="s">
        <v>3</v>
      </c>
      <c r="C219" s="291">
        <v>7795</v>
      </c>
      <c r="D219" s="292">
        <v>100</v>
      </c>
      <c r="F219" s="3" t="s">
        <v>3</v>
      </c>
      <c r="G219" s="846">
        <v>26865</v>
      </c>
      <c r="H219" s="3">
        <v>100</v>
      </c>
      <c r="J219" s="3" t="s">
        <v>3</v>
      </c>
      <c r="K219" s="846">
        <v>159275</v>
      </c>
      <c r="L219" s="3">
        <v>99.999999999999972</v>
      </c>
      <c r="N219" s="3" t="s">
        <v>3</v>
      </c>
      <c r="O219" s="846">
        <v>118188</v>
      </c>
      <c r="P219" s="3">
        <v>100</v>
      </c>
    </row>
    <row r="220" spans="2:18">
      <c r="B220" s="290" t="s">
        <v>1531</v>
      </c>
      <c r="C220" s="293">
        <v>2742</v>
      </c>
      <c r="D220" s="294">
        <f t="shared" ref="D220:D234" si="0">C220/$C$219*100</f>
        <v>35.176395125080177</v>
      </c>
      <c r="F220" s="290" t="s">
        <v>1532</v>
      </c>
      <c r="G220" s="293">
        <v>5295</v>
      </c>
      <c r="H220" s="294">
        <f>G220/$G$219*100</f>
        <v>19.709659408151868</v>
      </c>
      <c r="I220" s="134"/>
      <c r="J220" s="290" t="s">
        <v>1531</v>
      </c>
      <c r="K220" s="293">
        <v>26424</v>
      </c>
      <c r="L220" s="294">
        <f>K220/$K$219*100</f>
        <v>16.590174226965939</v>
      </c>
      <c r="N220" s="290" t="s">
        <v>1533</v>
      </c>
      <c r="O220" s="293">
        <v>19600</v>
      </c>
      <c r="P220" s="294">
        <f>O220/$O$219*100</f>
        <v>16.58374792703151</v>
      </c>
    </row>
    <row r="221" spans="2:18">
      <c r="B221" s="290" t="s">
        <v>1532</v>
      </c>
      <c r="C221" s="293">
        <v>995</v>
      </c>
      <c r="D221" s="294">
        <f t="shared" si="0"/>
        <v>12.764592687620269</v>
      </c>
      <c r="F221" s="290" t="s">
        <v>1531</v>
      </c>
      <c r="G221" s="293">
        <v>4677</v>
      </c>
      <c r="H221" s="294">
        <f t="shared" ref="H221:H231" si="1">G221/$G$219*100</f>
        <v>17.409268565047459</v>
      </c>
      <c r="J221" s="290" t="s">
        <v>1533</v>
      </c>
      <c r="K221" s="293">
        <v>15023</v>
      </c>
      <c r="L221" s="294">
        <f t="shared" ref="L221:L240" si="2">K221/$K$219*100</f>
        <v>9.4321142677758587</v>
      </c>
      <c r="N221" s="290" t="s">
        <v>1534</v>
      </c>
      <c r="O221" s="293">
        <v>13406</v>
      </c>
      <c r="P221" s="294">
        <f t="shared" ref="P221:P234" si="3">O221/$O$219*100</f>
        <v>11.342945138254306</v>
      </c>
    </row>
    <row r="222" spans="2:18">
      <c r="B222" s="290" t="s">
        <v>1535</v>
      </c>
      <c r="C222" s="293">
        <v>530</v>
      </c>
      <c r="D222" s="294">
        <f t="shared" si="0"/>
        <v>6.7992302758178313</v>
      </c>
      <c r="F222" s="290" t="s">
        <v>1536</v>
      </c>
      <c r="G222" s="293">
        <v>1399</v>
      </c>
      <c r="H222" s="294">
        <f t="shared" si="1"/>
        <v>5.2075190768658102</v>
      </c>
      <c r="J222" s="290" t="s">
        <v>1532</v>
      </c>
      <c r="K222" s="293">
        <v>11391</v>
      </c>
      <c r="L222" s="294">
        <f t="shared" si="2"/>
        <v>7.1517815099670381</v>
      </c>
      <c r="N222" s="290" t="s">
        <v>1535</v>
      </c>
      <c r="O222" s="293">
        <v>13409</v>
      </c>
      <c r="P222" s="294">
        <f t="shared" si="3"/>
        <v>11.345483467018648</v>
      </c>
    </row>
    <row r="223" spans="2:18">
      <c r="B223" s="290" t="s">
        <v>1537</v>
      </c>
      <c r="C223" s="293">
        <v>288</v>
      </c>
      <c r="D223" s="294">
        <f t="shared" si="0"/>
        <v>3.6946760744066705</v>
      </c>
      <c r="F223" s="290" t="s">
        <v>1533</v>
      </c>
      <c r="G223" s="293">
        <v>1216</v>
      </c>
      <c r="H223" s="294">
        <f t="shared" si="1"/>
        <v>4.5263353806067368</v>
      </c>
      <c r="J223" s="290" t="s">
        <v>1534</v>
      </c>
      <c r="K223" s="293">
        <v>8480</v>
      </c>
      <c r="L223" s="294">
        <f t="shared" si="2"/>
        <v>5.324124941139539</v>
      </c>
      <c r="N223" s="290" t="s">
        <v>1538</v>
      </c>
      <c r="O223" s="293">
        <v>9995</v>
      </c>
      <c r="P223" s="294">
        <f t="shared" si="3"/>
        <v>8.4568653331979569</v>
      </c>
    </row>
    <row r="224" spans="2:18">
      <c r="B224" s="290" t="s">
        <v>1539</v>
      </c>
      <c r="C224" s="293">
        <v>213</v>
      </c>
      <c r="D224" s="294">
        <f t="shared" si="0"/>
        <v>2.7325208466966004</v>
      </c>
      <c r="F224" s="290" t="s">
        <v>1535</v>
      </c>
      <c r="G224" s="293">
        <v>950</v>
      </c>
      <c r="H224" s="294">
        <f t="shared" si="1"/>
        <v>3.5361995160990136</v>
      </c>
      <c r="J224" s="290" t="s">
        <v>1536</v>
      </c>
      <c r="K224" s="293">
        <v>8803</v>
      </c>
      <c r="L224" s="294">
        <f t="shared" si="2"/>
        <v>5.5269188510437921</v>
      </c>
      <c r="N224" s="290" t="s">
        <v>1540</v>
      </c>
      <c r="O224" s="293">
        <v>10512</v>
      </c>
      <c r="P224" s="294">
        <f t="shared" si="3"/>
        <v>8.8943039902528174</v>
      </c>
    </row>
    <row r="225" spans="2:16">
      <c r="B225" s="290" t="s">
        <v>1538</v>
      </c>
      <c r="C225" s="293">
        <v>218</v>
      </c>
      <c r="D225" s="294">
        <f t="shared" si="0"/>
        <v>2.7966645285439387</v>
      </c>
      <c r="F225" s="290" t="s">
        <v>1541</v>
      </c>
      <c r="G225" s="293">
        <v>389</v>
      </c>
      <c r="H225" s="294">
        <f t="shared" si="1"/>
        <v>1.4479806439605436</v>
      </c>
      <c r="J225" s="290" t="s">
        <v>1542</v>
      </c>
      <c r="K225" s="293">
        <v>9585</v>
      </c>
      <c r="L225" s="294">
        <f t="shared" si="2"/>
        <v>6.0178935802856692</v>
      </c>
      <c r="N225" s="290" t="s">
        <v>1543</v>
      </c>
      <c r="O225" s="293">
        <v>9139</v>
      </c>
      <c r="P225" s="294">
        <f t="shared" si="3"/>
        <v>7.7325955257724983</v>
      </c>
    </row>
    <row r="226" spans="2:16">
      <c r="B226" s="290" t="s">
        <v>1543</v>
      </c>
      <c r="C226" s="293">
        <v>250</v>
      </c>
      <c r="D226" s="294">
        <f t="shared" si="0"/>
        <v>3.2071840923669019</v>
      </c>
      <c r="F226" s="290" t="s">
        <v>1544</v>
      </c>
      <c r="G226" s="293">
        <v>1251</v>
      </c>
      <c r="H226" s="294">
        <f t="shared" si="1"/>
        <v>4.6566164154103857</v>
      </c>
      <c r="J226" s="290" t="s">
        <v>1537</v>
      </c>
      <c r="K226" s="293">
        <v>7316</v>
      </c>
      <c r="L226" s="294">
        <f t="shared" si="2"/>
        <v>4.5933134515774601</v>
      </c>
      <c r="N226" s="290" t="s">
        <v>1545</v>
      </c>
      <c r="O226" s="293">
        <v>3968</v>
      </c>
      <c r="P226" s="294">
        <f t="shared" si="3"/>
        <v>3.3573628456357669</v>
      </c>
    </row>
    <row r="227" spans="2:16">
      <c r="B227" s="290" t="s">
        <v>1534</v>
      </c>
      <c r="C227" s="293">
        <v>201</v>
      </c>
      <c r="D227" s="294">
        <f t="shared" si="0"/>
        <v>2.5785760102629891</v>
      </c>
      <c r="F227" s="290" t="s">
        <v>1546</v>
      </c>
      <c r="G227" s="293">
        <v>630</v>
      </c>
      <c r="H227" s="294">
        <f t="shared" si="1"/>
        <v>2.3450586264656614</v>
      </c>
      <c r="J227" s="290" t="s">
        <v>1539</v>
      </c>
      <c r="K227" s="293">
        <v>5592</v>
      </c>
      <c r="L227" s="294">
        <f t="shared" si="2"/>
        <v>3.5109088055250357</v>
      </c>
      <c r="N227" s="290" t="s">
        <v>1532</v>
      </c>
      <c r="O227" s="293">
        <v>2131</v>
      </c>
      <c r="P227" s="294">
        <f t="shared" si="3"/>
        <v>1.8030595322706198</v>
      </c>
    </row>
    <row r="228" spans="2:16">
      <c r="B228" s="290" t="s">
        <v>1536</v>
      </c>
      <c r="C228" s="293">
        <v>226</v>
      </c>
      <c r="D228" s="294">
        <f t="shared" si="0"/>
        <v>2.8992944194996793</v>
      </c>
      <c r="F228" s="290" t="s">
        <v>1543</v>
      </c>
      <c r="G228" s="293">
        <v>935</v>
      </c>
      <c r="H228" s="294">
        <f t="shared" si="1"/>
        <v>3.4803647868974505</v>
      </c>
      <c r="J228" s="290" t="s">
        <v>1535</v>
      </c>
      <c r="K228" s="293">
        <v>5581</v>
      </c>
      <c r="L228" s="294">
        <f t="shared" si="2"/>
        <v>3.5040025113796891</v>
      </c>
      <c r="N228" s="290" t="s">
        <v>1544</v>
      </c>
      <c r="O228" s="293">
        <v>5360</v>
      </c>
      <c r="P228" s="294">
        <f t="shared" si="3"/>
        <v>4.5351473922902494</v>
      </c>
    </row>
    <row r="229" spans="2:16">
      <c r="B229" s="290" t="s">
        <v>1546</v>
      </c>
      <c r="C229" s="293">
        <v>147</v>
      </c>
      <c r="D229" s="294">
        <f t="shared" si="0"/>
        <v>1.8858242463117383</v>
      </c>
      <c r="F229" s="290" t="s">
        <v>1545</v>
      </c>
      <c r="G229" s="293">
        <v>409</v>
      </c>
      <c r="H229" s="294">
        <f t="shared" si="1"/>
        <v>1.5224269495626279</v>
      </c>
      <c r="J229" s="290" t="s">
        <v>1543</v>
      </c>
      <c r="K229" s="293">
        <v>4763</v>
      </c>
      <c r="L229" s="294">
        <f t="shared" si="2"/>
        <v>2.9904253649348611</v>
      </c>
      <c r="N229" s="290" t="s">
        <v>1539</v>
      </c>
      <c r="O229" s="293">
        <v>3628</v>
      </c>
      <c r="P229" s="294">
        <f t="shared" si="3"/>
        <v>3.0696855856770568</v>
      </c>
    </row>
    <row r="230" spans="2:16">
      <c r="B230" s="290" t="s">
        <v>1545</v>
      </c>
      <c r="C230" s="293">
        <v>150</v>
      </c>
      <c r="D230" s="294">
        <f t="shared" si="0"/>
        <v>1.9243104554201411</v>
      </c>
      <c r="F230" s="290" t="s">
        <v>1534</v>
      </c>
      <c r="G230" s="293">
        <v>839</v>
      </c>
      <c r="H230" s="294">
        <f t="shared" si="1"/>
        <v>3.1230225200074448</v>
      </c>
      <c r="J230" s="290" t="s">
        <v>1538</v>
      </c>
      <c r="K230" s="293">
        <v>5845</v>
      </c>
      <c r="L230" s="294">
        <f t="shared" si="2"/>
        <v>3.669753570867996</v>
      </c>
      <c r="N230" s="290" t="s">
        <v>1547</v>
      </c>
      <c r="O230" s="293">
        <v>2884</v>
      </c>
      <c r="P230" s="294">
        <f t="shared" si="3"/>
        <v>2.4401800521203505</v>
      </c>
    </row>
    <row r="231" spans="2:16">
      <c r="B231" s="290" t="s">
        <v>1547</v>
      </c>
      <c r="C231" s="293">
        <v>121</v>
      </c>
      <c r="D231" s="294">
        <f t="shared" si="0"/>
        <v>1.5522771007055804</v>
      </c>
      <c r="F231" s="290" t="s">
        <v>1548</v>
      </c>
      <c r="G231" s="4">
        <v>8875</v>
      </c>
      <c r="H231" s="294">
        <f t="shared" si="1"/>
        <v>33.035548110924992</v>
      </c>
      <c r="J231" s="290" t="s">
        <v>1549</v>
      </c>
      <c r="K231" s="293">
        <v>4358</v>
      </c>
      <c r="L231" s="294">
        <f t="shared" si="2"/>
        <v>2.7361481714016636</v>
      </c>
      <c r="N231" s="290" t="s">
        <v>1536</v>
      </c>
      <c r="O231" s="293">
        <v>2036</v>
      </c>
      <c r="P231" s="294">
        <f t="shared" si="3"/>
        <v>1.7226791213998036</v>
      </c>
    </row>
    <row r="232" spans="2:16">
      <c r="B232" s="290" t="s">
        <v>1533</v>
      </c>
      <c r="C232" s="293">
        <v>125</v>
      </c>
      <c r="D232" s="294">
        <f t="shared" si="0"/>
        <v>1.603592046183451</v>
      </c>
      <c r="F232" s="290"/>
      <c r="G232" s="293"/>
      <c r="H232" s="294"/>
      <c r="J232" s="290" t="s">
        <v>1450</v>
      </c>
      <c r="K232" s="293">
        <v>4410</v>
      </c>
      <c r="L232" s="294">
        <f t="shared" si="2"/>
        <v>2.7687961073614815</v>
      </c>
      <c r="N232" s="290" t="s">
        <v>1550</v>
      </c>
      <c r="O232" s="293">
        <v>1635</v>
      </c>
      <c r="P232" s="294">
        <f t="shared" si="3"/>
        <v>1.3833891765661488</v>
      </c>
    </row>
    <row r="233" spans="2:16">
      <c r="B233" s="290" t="s">
        <v>1549</v>
      </c>
      <c r="C233" s="293">
        <v>129</v>
      </c>
      <c r="D233" s="294">
        <f t="shared" si="0"/>
        <v>1.6549069916613213</v>
      </c>
      <c r="H233" s="294"/>
      <c r="J233" s="290" t="s">
        <v>1551</v>
      </c>
      <c r="K233" s="293">
        <v>5308</v>
      </c>
      <c r="L233" s="294">
        <f t="shared" si="2"/>
        <v>3.332600847590645</v>
      </c>
      <c r="N233" s="290" t="s">
        <v>1552</v>
      </c>
      <c r="O233" s="293">
        <v>1234</v>
      </c>
      <c r="P233" s="294">
        <f t="shared" si="3"/>
        <v>1.044099231732494</v>
      </c>
    </row>
    <row r="234" spans="2:16">
      <c r="B234" s="290" t="s">
        <v>1548</v>
      </c>
      <c r="C234" s="4">
        <v>1460</v>
      </c>
      <c r="D234" s="294">
        <f t="shared" si="0"/>
        <v>18.729955099422707</v>
      </c>
      <c r="F234" s="290"/>
      <c r="H234" s="294"/>
      <c r="J234" s="290" t="s">
        <v>1545</v>
      </c>
      <c r="K234" s="293">
        <v>3696</v>
      </c>
      <c r="L234" s="294">
        <f t="shared" si="2"/>
        <v>2.3205148328362895</v>
      </c>
      <c r="N234" s="290" t="s">
        <v>1548</v>
      </c>
      <c r="O234" s="293">
        <v>19251</v>
      </c>
      <c r="P234" s="294">
        <f t="shared" si="3"/>
        <v>16.288455680779776</v>
      </c>
    </row>
    <row r="235" spans="2:16">
      <c r="F235" s="290"/>
      <c r="H235" s="294"/>
      <c r="J235" s="290" t="s">
        <v>1540</v>
      </c>
      <c r="K235" s="293">
        <v>2836</v>
      </c>
      <c r="L235" s="294">
        <f t="shared" si="2"/>
        <v>1.7805681996546852</v>
      </c>
      <c r="O235" s="4"/>
    </row>
    <row r="236" spans="2:16">
      <c r="C236" s="293">
        <v>0</v>
      </c>
      <c r="F236" s="290"/>
      <c r="H236" s="294"/>
      <c r="J236" s="290" t="s">
        <v>1553</v>
      </c>
      <c r="K236" s="293">
        <v>2995</v>
      </c>
      <c r="L236" s="294">
        <f t="shared" si="2"/>
        <v>1.8803955423010517</v>
      </c>
    </row>
    <row r="237" spans="2:16">
      <c r="J237" s="290" t="s">
        <v>1544</v>
      </c>
      <c r="K237" s="293">
        <v>3708</v>
      </c>
      <c r="L237" s="294">
        <f t="shared" si="2"/>
        <v>2.3280489719039399</v>
      </c>
    </row>
    <row r="238" spans="2:16">
      <c r="F238" s="290"/>
      <c r="J238" s="290" t="s">
        <v>1547</v>
      </c>
      <c r="K238" s="293">
        <v>2707</v>
      </c>
      <c r="L238" s="294">
        <f t="shared" si="2"/>
        <v>1.6995762046774447</v>
      </c>
    </row>
    <row r="239" spans="2:16">
      <c r="J239" s="290" t="s">
        <v>1554</v>
      </c>
      <c r="K239" s="293">
        <v>2367</v>
      </c>
      <c r="L239" s="294">
        <f t="shared" si="2"/>
        <v>1.4861089310940199</v>
      </c>
    </row>
    <row r="240" spans="2:16">
      <c r="B240" s="195" t="s">
        <v>1944</v>
      </c>
      <c r="J240" s="290" t="s">
        <v>1548</v>
      </c>
      <c r="K240" s="4">
        <v>18087</v>
      </c>
      <c r="L240" s="294">
        <f t="shared" si="2"/>
        <v>11.355831109715901</v>
      </c>
    </row>
    <row r="241" spans="2:14">
      <c r="K241" s="4"/>
      <c r="L241" s="134"/>
    </row>
    <row r="243" spans="2:14" ht="15.6">
      <c r="B243" s="86" t="s">
        <v>1565</v>
      </c>
      <c r="C243" s="78"/>
      <c r="D243" s="78"/>
      <c r="E243" s="78"/>
      <c r="F243" s="78"/>
      <c r="G243" s="78"/>
      <c r="H243" s="78"/>
      <c r="I243" s="78"/>
      <c r="J243" s="78"/>
      <c r="K243" s="78"/>
    </row>
    <row r="245" spans="2:14" ht="15.6">
      <c r="B245" s="83" t="s">
        <v>1562</v>
      </c>
      <c r="C245" s="83"/>
      <c r="D245" s="83"/>
      <c r="E245" s="83"/>
      <c r="F245" s="83"/>
      <c r="G245" s="83"/>
      <c r="H245" s="83"/>
      <c r="I245" s="83"/>
      <c r="J245" s="83"/>
      <c r="K245" s="83"/>
    </row>
    <row r="246" spans="2:14">
      <c r="B246" s="1" t="s">
        <v>589</v>
      </c>
      <c r="C246" s="1"/>
      <c r="D246" s="1"/>
      <c r="E246" s="1"/>
      <c r="F246" s="1"/>
      <c r="G246" s="1"/>
      <c r="H246" s="1"/>
      <c r="I246" s="1"/>
      <c r="J246" s="1"/>
      <c r="K246" s="1"/>
    </row>
    <row r="247" spans="2:14">
      <c r="B247" s="271" t="s">
        <v>590</v>
      </c>
      <c r="C247" s="271">
        <v>2024</v>
      </c>
      <c r="D247" s="271">
        <v>2023</v>
      </c>
      <c r="E247" s="115">
        <v>2022</v>
      </c>
      <c r="F247" s="115">
        <v>2021</v>
      </c>
      <c r="G247" s="115">
        <v>2020</v>
      </c>
      <c r="H247" s="115">
        <v>2019</v>
      </c>
      <c r="I247" s="115">
        <v>2018</v>
      </c>
      <c r="J247" s="115">
        <v>2017</v>
      </c>
      <c r="K247" s="115">
        <v>2016</v>
      </c>
      <c r="L247" s="115">
        <v>2015</v>
      </c>
      <c r="M247" s="115">
        <v>2014</v>
      </c>
      <c r="N247" s="94"/>
    </row>
    <row r="248" spans="2:14" ht="15" thickBot="1">
      <c r="B248" s="95" t="s">
        <v>35</v>
      </c>
      <c r="C248" s="1332">
        <v>1695624</v>
      </c>
      <c r="D248" s="1448">
        <v>1203207</v>
      </c>
      <c r="E248" s="1333">
        <v>1081654.3209876544</v>
      </c>
      <c r="F248" s="44">
        <v>892348.86277162423</v>
      </c>
      <c r="G248" s="44">
        <v>714947.46979513217</v>
      </c>
      <c r="H248" s="44">
        <v>704840.55381866905</v>
      </c>
      <c r="I248" s="44">
        <v>630150.71972904319</v>
      </c>
      <c r="J248" s="44">
        <v>618870.49659201561</v>
      </c>
      <c r="K248" s="44">
        <v>595574.12593730236</v>
      </c>
      <c r="L248" s="44">
        <v>549232.98783235694</v>
      </c>
      <c r="M248" s="44">
        <v>488345.5024463681</v>
      </c>
      <c r="N248" s="39"/>
    </row>
    <row r="249" spans="2:14" ht="15" thickBot="1">
      <c r="B249" s="95" t="s">
        <v>37</v>
      </c>
      <c r="C249" s="1142">
        <v>312440</v>
      </c>
      <c r="D249" s="1269">
        <v>517047</v>
      </c>
      <c r="E249" s="44">
        <v>437859.44919278257</v>
      </c>
      <c r="F249" s="44">
        <v>325191.51094952226</v>
      </c>
      <c r="G249" s="44">
        <v>221830.67763964279</v>
      </c>
      <c r="H249" s="44">
        <v>237828.4948637785</v>
      </c>
      <c r="I249" s="44">
        <v>213895.85097375105</v>
      </c>
      <c r="J249" s="44">
        <v>21618.128706736305</v>
      </c>
      <c r="K249" s="44">
        <v>215498.23832324511</v>
      </c>
      <c r="L249" s="44">
        <v>18913.925191527716</v>
      </c>
      <c r="M249" s="44">
        <v>138293.56417011668</v>
      </c>
      <c r="N249" s="39"/>
    </row>
    <row r="250" spans="2:14" ht="15" thickBot="1">
      <c r="B250" s="95" t="s">
        <v>32</v>
      </c>
      <c r="C250" s="1142">
        <v>64544</v>
      </c>
      <c r="D250" s="1269">
        <v>108051</v>
      </c>
      <c r="E250" s="44">
        <v>84811.016144349487</v>
      </c>
      <c r="F250" s="44">
        <v>68701.276739663474</v>
      </c>
      <c r="G250" s="44">
        <v>50219.751357030291</v>
      </c>
      <c r="H250" s="44">
        <v>56222.420723537296</v>
      </c>
      <c r="I250" s="44">
        <v>50930.567315834036</v>
      </c>
      <c r="J250" s="44">
        <v>50131.89342303267</v>
      </c>
      <c r="K250" s="44">
        <v>50477.911283765468</v>
      </c>
      <c r="L250" s="44">
        <v>43724.200090130689</v>
      </c>
      <c r="M250" s="44">
        <v>34155.062100112911</v>
      </c>
      <c r="N250" s="39"/>
    </row>
    <row r="251" spans="2:14" ht="15" thickBot="1">
      <c r="B251" s="95" t="s">
        <v>13</v>
      </c>
      <c r="C251" s="1142">
        <v>52509</v>
      </c>
      <c r="D251" s="1269">
        <v>78721</v>
      </c>
      <c r="E251" s="44">
        <v>84626.78062678063</v>
      </c>
      <c r="F251" s="44">
        <v>67260.505622727651</v>
      </c>
      <c r="G251" s="44">
        <v>40100.682892663281</v>
      </c>
      <c r="H251" s="44">
        <v>69594.461813309521</v>
      </c>
      <c r="I251" s="44">
        <v>62568.162574089751</v>
      </c>
      <c r="J251" s="44">
        <v>61138.355315570509</v>
      </c>
      <c r="K251" s="44">
        <v>58411.780648658416</v>
      </c>
      <c r="L251" s="44">
        <v>48380.351509689055</v>
      </c>
      <c r="M251" s="44">
        <v>35835.905156191191</v>
      </c>
      <c r="N251" s="39"/>
    </row>
    <row r="252" spans="2:14" ht="15" thickBot="1">
      <c r="B252" s="95" t="s">
        <v>38</v>
      </c>
      <c r="C252" s="1142">
        <v>23057</v>
      </c>
      <c r="D252" s="1269">
        <v>56613</v>
      </c>
      <c r="E252" s="44">
        <v>58042.735042735047</v>
      </c>
      <c r="F252" s="44">
        <v>47237.676502917049</v>
      </c>
      <c r="G252" s="44">
        <v>25225.004377517071</v>
      </c>
      <c r="H252" s="44">
        <v>28417.150513622153</v>
      </c>
      <c r="I252" s="44">
        <v>25897.544453852664</v>
      </c>
      <c r="J252" s="44">
        <v>29093.564663184919</v>
      </c>
      <c r="K252" s="44">
        <v>26862.408528322343</v>
      </c>
      <c r="L252" s="44">
        <v>26638.125281658406</v>
      </c>
      <c r="M252" s="44">
        <v>22420.775310500565</v>
      </c>
      <c r="N252" s="39"/>
    </row>
    <row r="253" spans="2:14" ht="15" thickBot="1">
      <c r="B253" s="95" t="s">
        <v>36</v>
      </c>
      <c r="C253" s="1142">
        <v>14409</v>
      </c>
      <c r="D253" s="1269">
        <v>30367</v>
      </c>
      <c r="E253" s="44">
        <v>29628.679962013299</v>
      </c>
      <c r="F253" s="44">
        <v>24304.55736873256</v>
      </c>
      <c r="G253" s="44">
        <v>16632.813867974084</v>
      </c>
      <c r="H253" s="44">
        <v>19470.299240732471</v>
      </c>
      <c r="I253" s="44">
        <v>16387.806943268417</v>
      </c>
      <c r="J253" s="44">
        <v>21042.754713640792</v>
      </c>
      <c r="K253" s="44">
        <v>23827.807390008133</v>
      </c>
      <c r="L253" s="44">
        <v>22087.426768814781</v>
      </c>
      <c r="M253" s="44">
        <v>15493.413624388408</v>
      </c>
      <c r="N253" s="39"/>
    </row>
    <row r="254" spans="2:14" ht="15" thickBot="1">
      <c r="B254" s="95" t="s">
        <v>1292</v>
      </c>
      <c r="C254" s="1142">
        <v>10427</v>
      </c>
      <c r="D254" s="1269">
        <v>19071</v>
      </c>
      <c r="E254" s="44">
        <v>17508.072174738842</v>
      </c>
      <c r="F254" s="44">
        <v>15766.46655956709</v>
      </c>
      <c r="G254" s="44">
        <v>11014.708457362984</v>
      </c>
      <c r="H254" s="44">
        <v>11390.799464046449</v>
      </c>
      <c r="I254" s="44">
        <v>10668.077900084674</v>
      </c>
      <c r="J254" s="44">
        <v>9950.4293175179264</v>
      </c>
      <c r="K254" s="44">
        <v>1028.9999096576023</v>
      </c>
      <c r="L254" s="44">
        <v>8905.8134294727352</v>
      </c>
      <c r="M254" s="44">
        <v>7074.143771170493</v>
      </c>
      <c r="N254" s="39"/>
    </row>
    <row r="255" spans="2:14" ht="15" thickBot="1">
      <c r="B255" s="95" t="s">
        <v>1566</v>
      </c>
      <c r="C255" s="1142">
        <v>2436</v>
      </c>
      <c r="D255" s="1269">
        <v>8064</v>
      </c>
      <c r="E255" s="44">
        <v>8033.2383665717007</v>
      </c>
      <c r="F255" s="44">
        <v>6125.8138158451002</v>
      </c>
      <c r="G255" s="44">
        <v>4863.4214673437218</v>
      </c>
      <c r="H255" s="44">
        <v>5648.0571683787412</v>
      </c>
      <c r="I255" s="44">
        <v>4935.6477561388656</v>
      </c>
      <c r="J255" s="44">
        <v>4933.1680977250599</v>
      </c>
      <c r="K255" s="44">
        <v>5391.6342939741617</v>
      </c>
      <c r="L255" s="44">
        <v>6528.1658404686796</v>
      </c>
      <c r="M255" s="44">
        <v>513.3609333835152</v>
      </c>
      <c r="N255" s="39"/>
    </row>
    <row r="256" spans="2:14" ht="15" thickBot="1">
      <c r="B256" s="95" t="s">
        <v>737</v>
      </c>
      <c r="C256" s="1142">
        <v>1648</v>
      </c>
      <c r="D256" s="1269">
        <v>8867</v>
      </c>
      <c r="E256" s="44">
        <v>6480.5318138651473</v>
      </c>
      <c r="F256" s="44">
        <v>5510.2731039147711</v>
      </c>
      <c r="G256" s="44">
        <v>5364.2094204167388</v>
      </c>
      <c r="H256" s="44">
        <v>4866.4582402858423</v>
      </c>
      <c r="I256" s="44">
        <v>4103.3022861981372</v>
      </c>
      <c r="J256" s="44">
        <v>3918.7394883597417</v>
      </c>
      <c r="K256" s="44">
        <v>3214.3825097118079</v>
      </c>
      <c r="L256" s="44">
        <v>3752.1406038756199</v>
      </c>
      <c r="M256" s="44">
        <v>3094.4674444862626</v>
      </c>
      <c r="N256" s="39"/>
    </row>
    <row r="257" spans="2:14" ht="15" thickBot="1">
      <c r="B257" s="95" t="s">
        <v>21</v>
      </c>
      <c r="C257" s="1142">
        <v>5139</v>
      </c>
      <c r="D257" s="1269">
        <v>6482</v>
      </c>
      <c r="E257" s="44">
        <v>5947.7682811016148</v>
      </c>
      <c r="F257" s="44">
        <v>494.63092922972857</v>
      </c>
      <c r="G257" s="44">
        <v>2756.9602521449833</v>
      </c>
      <c r="H257" s="44">
        <v>5297.9008485931226</v>
      </c>
      <c r="I257" s="44">
        <v>5689.2464013547842</v>
      </c>
      <c r="J257" s="44">
        <v>5037.6206072408604</v>
      </c>
      <c r="K257" s="44">
        <v>4587.5869545577743</v>
      </c>
      <c r="L257" s="44">
        <v>4200.9914375844974</v>
      </c>
      <c r="M257" s="44">
        <v>2592.3974407226196</v>
      </c>
      <c r="N257" s="39"/>
    </row>
    <row r="258" spans="2:14" ht="15" thickBot="1">
      <c r="B258" s="95" t="s">
        <v>31</v>
      </c>
      <c r="C258" s="1142">
        <v>4873</v>
      </c>
      <c r="D258" s="1269">
        <v>7307</v>
      </c>
      <c r="E258" s="44">
        <v>7497.6258309591649</v>
      </c>
      <c r="F258" s="44">
        <v>4789.0420224909103</v>
      </c>
      <c r="G258" s="44">
        <v>2110.8387322710555</v>
      </c>
      <c r="H258" s="44">
        <v>7529.2541313086203</v>
      </c>
      <c r="I258" s="44">
        <v>974.59779847586788</v>
      </c>
      <c r="J258" s="44">
        <v>9980.5258033106147</v>
      </c>
      <c r="K258" s="44">
        <v>8952.0281868280781</v>
      </c>
      <c r="L258" s="44">
        <v>720.14420910319973</v>
      </c>
      <c r="M258" s="44">
        <v>5318.7805796010534</v>
      </c>
      <c r="N258" s="39"/>
    </row>
    <row r="259" spans="2:14" ht="15" thickBot="1">
      <c r="B259" s="95" t="s">
        <v>27</v>
      </c>
      <c r="C259" s="1142">
        <v>2028</v>
      </c>
      <c r="D259" s="1269">
        <v>2842</v>
      </c>
      <c r="E259" s="44">
        <v>3041.7853751187085</v>
      </c>
      <c r="F259" s="44">
        <v>3185.930498013021</v>
      </c>
      <c r="G259" s="44">
        <v>1784.2759586762386</v>
      </c>
      <c r="H259" s="44">
        <v>2273.3363108530593</v>
      </c>
      <c r="I259" s="44">
        <v>164.26756985605419</v>
      </c>
      <c r="J259" s="44">
        <v>1251.6597326723909</v>
      </c>
      <c r="K259" s="44">
        <v>1104.8875237148793</v>
      </c>
      <c r="L259" s="44">
        <v>886.88598467778286</v>
      </c>
      <c r="M259" s="44">
        <v>470.45540082800147</v>
      </c>
      <c r="N259" s="39"/>
    </row>
    <row r="260" spans="2:14" ht="15" thickBot="1">
      <c r="B260" s="95" t="s">
        <v>23</v>
      </c>
      <c r="C260" s="1142">
        <v>1325</v>
      </c>
      <c r="D260" s="1269">
        <v>3502</v>
      </c>
      <c r="E260" s="44">
        <v>3278.252611585945</v>
      </c>
      <c r="F260" s="44">
        <v>2488.3740593557113</v>
      </c>
      <c r="G260" s="44">
        <v>168.97215899142006</v>
      </c>
      <c r="H260" s="44">
        <v>2793.2112550245647</v>
      </c>
      <c r="I260" s="44">
        <v>2149.8729889923793</v>
      </c>
      <c r="J260" s="44">
        <v>2287.3329202443128</v>
      </c>
      <c r="K260" s="44">
        <v>2611.7987171379527</v>
      </c>
      <c r="L260" s="44">
        <v>1759.3510590356018</v>
      </c>
      <c r="M260" s="44">
        <v>802.40873165223934</v>
      </c>
      <c r="N260" s="39"/>
    </row>
    <row r="261" spans="2:14" ht="15" thickBot="1">
      <c r="B261" s="95" t="s">
        <v>30</v>
      </c>
      <c r="C261" s="1142">
        <v>2144</v>
      </c>
      <c r="D261" s="1269">
        <v>2549</v>
      </c>
      <c r="E261" s="44">
        <v>2452.9914529914531</v>
      </c>
      <c r="F261" s="44">
        <v>2146.7827851526167</v>
      </c>
      <c r="G261" s="44">
        <v>1214.3232358606197</v>
      </c>
      <c r="H261" s="44">
        <v>2115.2300133988388</v>
      </c>
      <c r="I261" s="44">
        <v>1963.5901778154107</v>
      </c>
      <c r="J261" s="44">
        <v>1844.7375409400727</v>
      </c>
      <c r="K261" s="44">
        <v>1313.5784623723914</v>
      </c>
      <c r="L261" s="44">
        <v>983.32582244254172</v>
      </c>
      <c r="M261" s="44">
        <v>723.37222431313512</v>
      </c>
      <c r="N261" s="39"/>
    </row>
    <row r="262" spans="2:14" ht="15" thickBot="1">
      <c r="B262" s="95" t="s">
        <v>25</v>
      </c>
      <c r="C262" s="1142">
        <v>304</v>
      </c>
      <c r="D262" s="1269">
        <v>3440</v>
      </c>
      <c r="E262" s="44">
        <v>2613.4852801519469</v>
      </c>
      <c r="F262" s="44">
        <v>193.62475691215016</v>
      </c>
      <c r="G262" s="44">
        <v>1473.4722465417615</v>
      </c>
      <c r="H262" s="44">
        <v>2323.3586422510052</v>
      </c>
      <c r="I262" s="44">
        <v>2001.6934801016087</v>
      </c>
      <c r="J262" s="44">
        <v>1649.9955740462071</v>
      </c>
      <c r="K262" s="44">
        <v>1199.7470412864757</v>
      </c>
      <c r="L262" s="44">
        <v>895.89905362776028</v>
      </c>
      <c r="M262" s="44">
        <v>690.25216409484381</v>
      </c>
      <c r="N262" s="39"/>
    </row>
    <row r="263" spans="2:14" ht="15" thickBot="1">
      <c r="B263" s="95" t="s">
        <v>9</v>
      </c>
      <c r="C263" s="1142">
        <v>2820</v>
      </c>
      <c r="D263" s="1269">
        <v>3577</v>
      </c>
      <c r="E263" s="44">
        <v>1749.2877492877494</v>
      </c>
      <c r="F263" s="44">
        <v>1879.5975310729684</v>
      </c>
      <c r="G263" s="44">
        <v>365.0849238312029</v>
      </c>
      <c r="H263" s="44">
        <v>278.69584635998217</v>
      </c>
      <c r="I263" s="44">
        <v>331.0753598645216</v>
      </c>
      <c r="J263" s="44">
        <v>346.10958661591576</v>
      </c>
      <c r="K263" s="44">
        <v>591.74270485138675</v>
      </c>
      <c r="L263" s="44">
        <v>429.92338891392524</v>
      </c>
      <c r="M263" s="44">
        <v>373.35340609710198</v>
      </c>
      <c r="N263" s="39"/>
    </row>
    <row r="264" spans="2:14" ht="15" thickBot="1">
      <c r="B264" s="95" t="s">
        <v>12</v>
      </c>
      <c r="C264" s="1142">
        <v>1424</v>
      </c>
      <c r="D264" s="1269">
        <v>1587</v>
      </c>
      <c r="E264" s="44">
        <v>1886.9895536562206</v>
      </c>
      <c r="F264" s="44">
        <v>1813.6467405090048</v>
      </c>
      <c r="G264" s="44">
        <v>717.03729644545604</v>
      </c>
      <c r="H264" s="44">
        <v>556.49843680214383</v>
      </c>
      <c r="I264" s="44">
        <v>464.01354784081286</v>
      </c>
      <c r="J264" s="44">
        <v>462.95476675223512</v>
      </c>
      <c r="K264" s="44">
        <v>419.18872526876862</v>
      </c>
      <c r="L264" s="44">
        <v>426.31816133393426</v>
      </c>
      <c r="M264" s="44">
        <v>185.92397440722618</v>
      </c>
      <c r="N264" s="39"/>
    </row>
    <row r="265" spans="2:14" ht="15" thickBot="1">
      <c r="B265" s="95" t="s">
        <v>24</v>
      </c>
      <c r="C265" s="1142">
        <v>779</v>
      </c>
      <c r="D265" s="1269">
        <v>1987</v>
      </c>
      <c r="E265" s="44">
        <v>965.81196581196582</v>
      </c>
      <c r="F265" s="44">
        <v>1162.5940644288492</v>
      </c>
      <c r="G265" s="44">
        <v>716.16179303099273</v>
      </c>
      <c r="H265" s="44">
        <v>2535.9535506922734</v>
      </c>
      <c r="I265" s="44">
        <v>1526.6723116003386</v>
      </c>
      <c r="J265" s="44">
        <v>359.38744799504298</v>
      </c>
      <c r="K265" s="44">
        <v>3636.2815069111934</v>
      </c>
      <c r="L265" s="44">
        <v>4365.930599369085</v>
      </c>
      <c r="M265" s="44">
        <v>3284.9077907414376</v>
      </c>
      <c r="N265" s="39"/>
    </row>
    <row r="266" spans="2:14" ht="15" thickBot="1">
      <c r="B266" s="95" t="s">
        <v>26</v>
      </c>
      <c r="C266" s="1298" t="s">
        <v>59</v>
      </c>
      <c r="D266" s="1269">
        <v>1463</v>
      </c>
      <c r="E266" s="44">
        <v>1123.4567901234568</v>
      </c>
      <c r="F266" s="44">
        <v>925.84763676333807</v>
      </c>
      <c r="G266" s="44">
        <v>478.90036771143406</v>
      </c>
      <c r="H266" s="44">
        <v>578.82983474765524</v>
      </c>
      <c r="I266" s="44">
        <v>448.77222692633359</v>
      </c>
      <c r="J266" s="44">
        <v>404.53217668407547</v>
      </c>
      <c r="K266" s="44">
        <v>406.54078959255577</v>
      </c>
      <c r="L266" s="44">
        <v>476.79134745380804</v>
      </c>
      <c r="M266" s="44">
        <v>487.76815957847197</v>
      </c>
      <c r="N266" s="39"/>
    </row>
    <row r="267" spans="2:14" ht="15" thickBot="1">
      <c r="B267" s="95" t="s">
        <v>20</v>
      </c>
      <c r="C267" s="1142">
        <v>1028</v>
      </c>
      <c r="D267" s="1269">
        <v>812</v>
      </c>
      <c r="E267" s="44">
        <v>976.25830959164296</v>
      </c>
      <c r="F267" s="44">
        <v>674.72731884670668</v>
      </c>
      <c r="G267" s="44">
        <v>382.59499212046921</v>
      </c>
      <c r="H267" s="44">
        <v>881.64359088878973</v>
      </c>
      <c r="I267" s="44">
        <v>544.4538526672311</v>
      </c>
      <c r="J267" s="44">
        <v>405.41736744268394</v>
      </c>
      <c r="K267" s="44">
        <v>583.61188905953566</v>
      </c>
      <c r="L267" s="44">
        <v>505.63316809373595</v>
      </c>
      <c r="M267" s="44">
        <v>512.60820474219042</v>
      </c>
      <c r="N267" s="39"/>
    </row>
    <row r="268" spans="2:14" ht="15" thickBot="1">
      <c r="B268" s="95" t="s">
        <v>29</v>
      </c>
      <c r="C268" s="1142">
        <v>49</v>
      </c>
      <c r="D268" s="1269">
        <v>395</v>
      </c>
      <c r="E268" s="44">
        <v>988.60398860398868</v>
      </c>
      <c r="F268" s="44">
        <v>521.68766382007266</v>
      </c>
      <c r="G268" s="44">
        <v>129.57450534057082</v>
      </c>
      <c r="H268" s="44">
        <v>350.15631978561862</v>
      </c>
      <c r="I268" s="44">
        <v>247.24809483488568</v>
      </c>
      <c r="J268" s="44">
        <v>373.55050013277867</v>
      </c>
      <c r="K268" s="44">
        <v>382.14834221700244</v>
      </c>
      <c r="L268" s="44">
        <v>629.11221270842725</v>
      </c>
      <c r="M268" s="44">
        <v>422.28076778321417</v>
      </c>
      <c r="N268" s="39"/>
    </row>
    <row r="269" spans="2:14" ht="15" thickBot="1">
      <c r="B269" s="95" t="s">
        <v>1622</v>
      </c>
      <c r="C269" s="1142">
        <v>209</v>
      </c>
      <c r="D269" s="1269">
        <v>405</v>
      </c>
      <c r="E269" s="44">
        <v>414.0550807217474</v>
      </c>
      <c r="F269" s="44">
        <v>420.22490910628221</v>
      </c>
      <c r="G269" s="44">
        <v>166.3456487480301</v>
      </c>
      <c r="H269" s="44">
        <v>337.6507369361322</v>
      </c>
      <c r="I269" s="44">
        <v>486.87552921253172</v>
      </c>
      <c r="J269" s="44">
        <v>407.18774895990089</v>
      </c>
      <c r="K269" s="44">
        <v>480.62155569608819</v>
      </c>
      <c r="L269" s="44">
        <v>332.58224425416859</v>
      </c>
      <c r="M269" s="44">
        <v>179.90214527662778</v>
      </c>
      <c r="N269" s="39"/>
    </row>
    <row r="270" spans="2:14" ht="15" thickBot="1">
      <c r="B270" s="95" t="s">
        <v>1142</v>
      </c>
      <c r="C270" s="1299">
        <v>93</v>
      </c>
      <c r="D270" s="1449">
        <v>1744</v>
      </c>
      <c r="E270" s="44">
        <v>672.3646723646724</v>
      </c>
      <c r="F270" s="44">
        <v>391.47712860404158</v>
      </c>
      <c r="G270" s="44">
        <v>168.97215899142006</v>
      </c>
      <c r="H270" s="44">
        <v>644.03751674854846</v>
      </c>
      <c r="I270" s="44">
        <v>569.85605419136323</v>
      </c>
      <c r="J270" s="44">
        <v>1010.8878463308844</v>
      </c>
      <c r="K270" s="44">
        <v>1083.205348269943</v>
      </c>
      <c r="L270" s="44">
        <v>551.59981973862102</v>
      </c>
      <c r="M270" s="44">
        <v>830.25969138125708</v>
      </c>
      <c r="N270" s="39"/>
    </row>
    <row r="271" spans="2:14">
      <c r="B271" s="20" t="s">
        <v>129</v>
      </c>
      <c r="C271" s="1300">
        <v>1655</v>
      </c>
      <c r="D271" s="1450">
        <v>3086</v>
      </c>
      <c r="E271" s="136">
        <f>E272-E270-E269-E268-E267-E266-E265-E264-E263-E262-E261-E260-E258-E259-E257-E256-E255-E254-E253-E252-E251-E250-E249-E248</f>
        <v>1323.8366571702063</v>
      </c>
      <c r="F271" s="136">
        <f>F272-F270-F269-F268-F267-F266-F265-F264-F263-F262-F261-F260-F259-F258-F257-F256-F255-F254-F253-F252-F251-F250-F249-F248</f>
        <v>8187.1987824472599</v>
      </c>
      <c r="G271" s="136">
        <v>1388.5484153388197</v>
      </c>
      <c r="H271" s="136">
        <v>2702.0991514068778</v>
      </c>
      <c r="I271" s="109">
        <v>2540.2201524132088</v>
      </c>
      <c r="J271" s="109">
        <v>2198.813844383465</v>
      </c>
      <c r="K271" s="109">
        <v>2418.4659860872703</v>
      </c>
      <c r="L271" s="109">
        <v>2232.5371789094179</v>
      </c>
      <c r="M271" s="109">
        <v>1716.9740308618743</v>
      </c>
      <c r="N271" s="39"/>
    </row>
    <row r="272" spans="2:14">
      <c r="B272" s="85" t="s">
        <v>3</v>
      </c>
      <c r="C272" s="48">
        <v>2200964</v>
      </c>
      <c r="D272" s="48">
        <v>2071186</v>
      </c>
      <c r="E272" s="48">
        <v>1843577.3979107314</v>
      </c>
      <c r="F272" s="48">
        <v>1481722.3302612666</v>
      </c>
      <c r="G272" s="48">
        <v>1105741.5513920502</v>
      </c>
      <c r="H272" s="48">
        <v>1169475.6587762395</v>
      </c>
      <c r="I272" s="48">
        <v>1049891.6172734969</v>
      </c>
      <c r="J272" s="48">
        <v>1046518.5447463929</v>
      </c>
      <c r="K272" s="73">
        <v>1019319.7217454151</v>
      </c>
      <c r="L272" s="73">
        <v>924264.98422712937</v>
      </c>
      <c r="M272" s="73">
        <v>768437.33534060966</v>
      </c>
      <c r="N272" s="126"/>
    </row>
    <row r="273" spans="2:14">
      <c r="B273" s="950" t="s">
        <v>2413</v>
      </c>
      <c r="C273" s="850"/>
      <c r="D273" s="850"/>
      <c r="E273" s="850"/>
      <c r="F273" s="850"/>
      <c r="G273" s="850"/>
      <c r="H273" s="850"/>
      <c r="I273" s="850"/>
      <c r="J273" s="850"/>
      <c r="K273" s="850"/>
      <c r="L273" s="113"/>
      <c r="M273" s="113"/>
      <c r="N273" s="113"/>
    </row>
    <row r="274" spans="2:14">
      <c r="B274" s="77"/>
      <c r="C274" s="851"/>
      <c r="D274" s="851"/>
      <c r="E274" s="851"/>
      <c r="F274" s="851"/>
      <c r="G274" s="851"/>
      <c r="H274" s="851"/>
      <c r="I274" s="851"/>
      <c r="J274" s="851"/>
      <c r="K274" s="851"/>
      <c r="L274" s="851"/>
      <c r="M274" s="851"/>
      <c r="N274" s="851"/>
    </row>
    <row r="276" spans="2:14" ht="15.6">
      <c r="B276" s="83" t="s">
        <v>1562</v>
      </c>
    </row>
    <row r="277" spans="2:14">
      <c r="B277" s="1" t="s">
        <v>1563</v>
      </c>
      <c r="C277" s="1"/>
      <c r="D277" s="1"/>
      <c r="E277" s="1"/>
      <c r="F277" s="1"/>
      <c r="G277" s="1"/>
      <c r="H277" s="1"/>
      <c r="I277" s="1"/>
      <c r="J277" s="1"/>
      <c r="K277" s="1"/>
    </row>
    <row r="278" spans="2:14">
      <c r="B278" s="271" t="s">
        <v>590</v>
      </c>
      <c r="C278" s="271">
        <v>2024</v>
      </c>
      <c r="D278" s="271">
        <v>2023</v>
      </c>
      <c r="E278" s="115">
        <v>2022</v>
      </c>
      <c r="F278" s="115">
        <v>2021</v>
      </c>
      <c r="G278" s="115">
        <v>2020</v>
      </c>
      <c r="H278" s="115">
        <v>2019</v>
      </c>
      <c r="I278" s="115">
        <v>2018</v>
      </c>
      <c r="J278" s="115">
        <v>2017</v>
      </c>
      <c r="K278" s="115">
        <v>2016</v>
      </c>
      <c r="L278" s="115">
        <v>2015</v>
      </c>
      <c r="M278" s="115">
        <v>2014</v>
      </c>
    </row>
    <row r="279" spans="2:14" ht="15" thickBot="1">
      <c r="B279" s="95" t="s">
        <v>32</v>
      </c>
      <c r="C279" s="1142">
        <v>89113</v>
      </c>
      <c r="D279" s="1269">
        <v>88495</v>
      </c>
      <c r="E279" s="44">
        <v>87440.645773979108</v>
      </c>
      <c r="F279" s="44">
        <v>79321.890589329501</v>
      </c>
      <c r="G279" s="44">
        <v>62886.534757485548</v>
      </c>
      <c r="H279" s="44">
        <v>61292.5413130862</v>
      </c>
      <c r="I279" s="44">
        <v>46453.852667231156</v>
      </c>
      <c r="J279" s="44">
        <v>40200.938302204129</v>
      </c>
      <c r="K279" s="44">
        <v>35624.717680007227</v>
      </c>
      <c r="L279" s="44">
        <v>32876.070301937812</v>
      </c>
      <c r="M279" s="44">
        <v>30795.634173880317</v>
      </c>
    </row>
    <row r="280" spans="2:14" ht="15" thickBot="1">
      <c r="B280" s="95" t="s">
        <v>35</v>
      </c>
      <c r="C280" s="1142">
        <v>37599</v>
      </c>
      <c r="D280" s="1269">
        <v>41152</v>
      </c>
      <c r="E280" s="44">
        <v>39577.397910731248</v>
      </c>
      <c r="F280" s="44">
        <v>33342.352244863447</v>
      </c>
      <c r="G280" s="44">
        <v>22840.133076518996</v>
      </c>
      <c r="H280" s="44">
        <v>19764.180437695402</v>
      </c>
      <c r="I280" s="44">
        <v>15695.173581710415</v>
      </c>
      <c r="J280" s="44">
        <v>15674.072762680358</v>
      </c>
      <c r="K280" s="44">
        <v>13800.70467070196</v>
      </c>
      <c r="L280" s="44">
        <v>10982.424515547546</v>
      </c>
      <c r="M280" s="44">
        <v>9807.301467820851</v>
      </c>
    </row>
    <row r="281" spans="2:14" ht="15" thickBot="1">
      <c r="B281" s="95" t="s">
        <v>27</v>
      </c>
      <c r="C281" s="1142">
        <v>14690</v>
      </c>
      <c r="D281" s="1269">
        <v>16529</v>
      </c>
      <c r="E281" s="44">
        <v>24433.048433048436</v>
      </c>
      <c r="F281" s="44">
        <v>18190.580874270734</v>
      </c>
      <c r="G281" s="44">
        <v>13345.298546664331</v>
      </c>
      <c r="H281" s="44">
        <v>18627.065654309961</v>
      </c>
      <c r="I281" s="44">
        <v>20635.055038103303</v>
      </c>
      <c r="J281" s="44">
        <v>16607.063822253698</v>
      </c>
      <c r="K281" s="44">
        <v>20368.596982563919</v>
      </c>
      <c r="L281" s="44">
        <v>20518.251464623707</v>
      </c>
      <c r="M281" s="44">
        <v>14931.878057960104</v>
      </c>
    </row>
    <row r="282" spans="2:14" ht="15" thickBot="1">
      <c r="B282" s="95" t="s">
        <v>29</v>
      </c>
      <c r="C282" s="1142">
        <v>18102</v>
      </c>
      <c r="D282" s="1269">
        <v>19766</v>
      </c>
      <c r="E282" s="44">
        <v>21602.089268755935</v>
      </c>
      <c r="F282" s="44">
        <v>16649.192525577069</v>
      </c>
      <c r="G282" s="44">
        <v>10626.860444755734</v>
      </c>
      <c r="H282" s="44">
        <v>11991.960696739616</v>
      </c>
      <c r="I282" s="44">
        <v>10938.187976291278</v>
      </c>
      <c r="J282" s="44">
        <v>11509.250243427459</v>
      </c>
      <c r="K282" s="44">
        <v>12506.098111843889</v>
      </c>
      <c r="L282" s="44">
        <v>10731.861198738172</v>
      </c>
      <c r="M282" s="44">
        <v>6471.2081294693262</v>
      </c>
    </row>
    <row r="283" spans="2:14" ht="15" thickBot="1">
      <c r="B283" s="95" t="s">
        <v>38</v>
      </c>
      <c r="C283" s="1142">
        <v>25761</v>
      </c>
      <c r="D283" s="1269">
        <v>20925</v>
      </c>
      <c r="E283" s="44">
        <v>20763.532763532763</v>
      </c>
      <c r="F283" s="44">
        <v>14027.225839181532</v>
      </c>
      <c r="G283" s="44">
        <v>14098.231483102783</v>
      </c>
      <c r="H283" s="44">
        <v>12775.346136668157</v>
      </c>
      <c r="I283" s="44">
        <v>10579.170194750212</v>
      </c>
      <c r="J283" s="44">
        <v>6229.0873683278751</v>
      </c>
      <c r="K283" s="44">
        <v>6459.481434637275</v>
      </c>
      <c r="L283" s="44">
        <v>7233.8891392519154</v>
      </c>
      <c r="M283" s="44">
        <v>8212.2694768535948</v>
      </c>
    </row>
    <row r="284" spans="2:14" ht="15" thickBot="1">
      <c r="B284" s="95" t="s">
        <v>12</v>
      </c>
      <c r="C284" s="1142">
        <v>11833</v>
      </c>
      <c r="D284" s="1269">
        <v>13077</v>
      </c>
      <c r="E284" s="44">
        <v>15885.090218423553</v>
      </c>
      <c r="F284" s="44">
        <v>13454.806798004565</v>
      </c>
      <c r="G284" s="44">
        <v>7108.2122220276651</v>
      </c>
      <c r="H284" s="44">
        <v>9359.5355069227335</v>
      </c>
      <c r="I284" s="44">
        <v>7999.1532599491957</v>
      </c>
      <c r="J284" s="44">
        <v>6514.1187925998056</v>
      </c>
      <c r="K284" s="44">
        <v>5582.256753094227</v>
      </c>
      <c r="L284" s="44">
        <v>4621.0004506534478</v>
      </c>
      <c r="M284" s="44">
        <v>3238.2386149793001</v>
      </c>
    </row>
    <row r="285" spans="2:14" ht="15" thickBot="1">
      <c r="B285" s="95" t="s">
        <v>37</v>
      </c>
      <c r="C285" s="1142">
        <v>14253</v>
      </c>
      <c r="D285" s="1269">
        <v>14912</v>
      </c>
      <c r="E285" s="44">
        <v>12551.756885090219</v>
      </c>
      <c r="F285" s="44">
        <v>10953.749894309629</v>
      </c>
      <c r="G285" s="44">
        <v>7716.6870950796701</v>
      </c>
      <c r="H285" s="44">
        <v>5468.5127288968297</v>
      </c>
      <c r="I285" s="44">
        <v>4752.7519051651143</v>
      </c>
      <c r="J285" s="44">
        <v>4109.0555014605652</v>
      </c>
      <c r="K285" s="44">
        <v>3680.5492817779382</v>
      </c>
      <c r="L285" s="44">
        <v>2684.0919333032898</v>
      </c>
      <c r="M285" s="44">
        <v>2495.29544599172</v>
      </c>
    </row>
    <row r="286" spans="2:14" ht="15" thickBot="1">
      <c r="B286" s="95" t="s">
        <v>1292</v>
      </c>
      <c r="C286" s="1142">
        <v>6975</v>
      </c>
      <c r="D286" s="1269">
        <v>7015</v>
      </c>
      <c r="E286" s="44">
        <v>6488.1291547958217</v>
      </c>
      <c r="F286" s="44">
        <v>4901.496575632028</v>
      </c>
      <c r="G286" s="44">
        <v>3622.8331290492029</v>
      </c>
      <c r="H286" s="44">
        <v>3504.2429656096474</v>
      </c>
      <c r="I286" s="44">
        <v>3252.3285351397121</v>
      </c>
      <c r="J286" s="44">
        <v>3090.2009383022041</v>
      </c>
      <c r="K286" s="44">
        <v>1253.9524798988166</v>
      </c>
      <c r="L286" s="44">
        <v>1132.0414601171699</v>
      </c>
      <c r="M286" s="44">
        <v>889.72525404591647</v>
      </c>
    </row>
    <row r="287" spans="2:14" ht="15" thickBot="1">
      <c r="B287" s="95" t="s">
        <v>36</v>
      </c>
      <c r="C287" s="1142">
        <v>3525</v>
      </c>
      <c r="D287" s="1269">
        <v>4696</v>
      </c>
      <c r="E287" s="44">
        <v>6381.7663817663824</v>
      </c>
      <c r="F287" s="44">
        <v>4583.5799441954841</v>
      </c>
      <c r="G287" s="44">
        <v>2587.1125897390998</v>
      </c>
      <c r="H287" s="44">
        <v>3430.9959803483698</v>
      </c>
      <c r="I287" s="44">
        <v>2854.3607112616423</v>
      </c>
      <c r="J287" s="44">
        <v>2705.1429583075155</v>
      </c>
      <c r="K287" s="44">
        <v>2784.3526967205712</v>
      </c>
      <c r="L287" s="44">
        <v>2166.7417755745832</v>
      </c>
      <c r="M287" s="44">
        <v>1881.8216033120059</v>
      </c>
    </row>
    <row r="288" spans="2:14" ht="15" thickBot="1">
      <c r="B288" s="95" t="s">
        <v>1564</v>
      </c>
      <c r="C288" s="1142">
        <v>460</v>
      </c>
      <c r="D288" s="1269">
        <v>882</v>
      </c>
      <c r="E288" s="44">
        <v>2123.4567901234568</v>
      </c>
      <c r="F288" s="44">
        <v>2106.1976832671007</v>
      </c>
      <c r="G288" s="44">
        <v>1188.9336368411837</v>
      </c>
      <c r="H288" s="44">
        <v>2008.0393032603843</v>
      </c>
      <c r="I288" s="44">
        <v>2127.0110076206602</v>
      </c>
      <c r="J288" s="44">
        <v>2495.3527485173058</v>
      </c>
      <c r="K288" s="44">
        <v>2666.9075797271662</v>
      </c>
      <c r="L288" s="44">
        <v>3389.8152320865256</v>
      </c>
      <c r="M288" s="44">
        <v>2419.2698532179147</v>
      </c>
    </row>
    <row r="289" spans="2:13" ht="15" thickBot="1">
      <c r="B289" s="95" t="s">
        <v>21</v>
      </c>
      <c r="C289" s="1142">
        <v>4728</v>
      </c>
      <c r="D289" s="1269">
        <v>4290</v>
      </c>
      <c r="E289" s="44">
        <v>2365.6220322886993</v>
      </c>
      <c r="F289" s="44">
        <v>2021.6453876722751</v>
      </c>
      <c r="G289" s="44">
        <v>1997.0232883908245</v>
      </c>
      <c r="H289" s="44">
        <v>1701.652523447968</v>
      </c>
      <c r="I289" s="44">
        <v>1364.0982218458932</v>
      </c>
      <c r="J289" s="44">
        <v>1223.3336283969197</v>
      </c>
      <c r="K289" s="44">
        <v>1616.2254946246273</v>
      </c>
      <c r="L289" s="44">
        <v>1603.4249662009915</v>
      </c>
      <c r="M289" s="44">
        <v>824.23786225065862</v>
      </c>
    </row>
    <row r="290" spans="2:13" ht="15" thickBot="1">
      <c r="B290" s="95" t="s">
        <v>1142</v>
      </c>
      <c r="C290" s="1142">
        <v>612</v>
      </c>
      <c r="D290" s="1269">
        <v>1019</v>
      </c>
      <c r="E290" s="44">
        <v>2000.9496676163344</v>
      </c>
      <c r="F290" s="44">
        <v>1862.6870719540034</v>
      </c>
      <c r="G290" s="44">
        <v>1167.921554894064</v>
      </c>
      <c r="H290" s="44">
        <v>1230.9066547565878</v>
      </c>
      <c r="I290" s="44">
        <v>1475.02116850127</v>
      </c>
      <c r="J290" s="44">
        <v>1289.7229352925556</v>
      </c>
      <c r="K290" s="44">
        <v>540.24753816966302</v>
      </c>
      <c r="L290" s="44">
        <v>1852.1856692203696</v>
      </c>
      <c r="M290" s="44">
        <v>524.65186300338723</v>
      </c>
    </row>
    <row r="291" spans="2:13" ht="15" thickBot="1">
      <c r="B291" s="95" t="s">
        <v>22</v>
      </c>
      <c r="C291" s="1142">
        <v>1527</v>
      </c>
      <c r="D291" s="1269">
        <v>1155</v>
      </c>
      <c r="E291" s="44">
        <v>1565.0522317188984</v>
      </c>
      <c r="F291" s="44">
        <v>1339.3083622220342</v>
      </c>
      <c r="G291" s="44">
        <v>1514.6209070215373</v>
      </c>
      <c r="H291" s="44">
        <v>1364.0017865118357</v>
      </c>
      <c r="I291" s="44">
        <v>1355.6308213378493</v>
      </c>
      <c r="J291" s="44">
        <v>951.58006550411619</v>
      </c>
      <c r="K291" s="44">
        <v>1144.6381786972627</v>
      </c>
      <c r="L291" s="44">
        <v>1152.7715187021181</v>
      </c>
      <c r="M291" s="44">
        <v>619.49567181031239</v>
      </c>
    </row>
    <row r="292" spans="2:13" ht="15" thickBot="1">
      <c r="B292" s="95" t="s">
        <v>13</v>
      </c>
      <c r="C292" s="1142">
        <v>1106</v>
      </c>
      <c r="D292" s="1269">
        <v>1934</v>
      </c>
      <c r="E292" s="44">
        <v>2249.7625830959164</v>
      </c>
      <c r="F292" s="44">
        <v>1166.8216792085905</v>
      </c>
      <c r="G292" s="44">
        <v>533.18157940815968</v>
      </c>
      <c r="H292" s="44">
        <v>232.24653863331847</v>
      </c>
      <c r="I292" s="44">
        <v>360.71126164267571</v>
      </c>
      <c r="J292" s="44">
        <v>263.7868460653271</v>
      </c>
      <c r="K292" s="44">
        <v>325.23263167404463</v>
      </c>
      <c r="L292" s="44">
        <v>765.20955385308707</v>
      </c>
      <c r="M292" s="44">
        <v>217.53857734286788</v>
      </c>
    </row>
    <row r="293" spans="2:13" ht="15" thickBot="1">
      <c r="B293" s="95" t="s">
        <v>34</v>
      </c>
      <c r="C293" s="1142">
        <v>583</v>
      </c>
      <c r="D293" s="1269">
        <v>1062</v>
      </c>
      <c r="E293" s="44">
        <v>1113.0104463437797</v>
      </c>
      <c r="F293" s="44">
        <v>817.62069840196159</v>
      </c>
      <c r="G293" s="44">
        <v>491.15741551392045</v>
      </c>
      <c r="H293" s="44">
        <v>406.43144260830729</v>
      </c>
      <c r="I293" s="44">
        <v>454.6994072819644</v>
      </c>
      <c r="J293" s="44">
        <v>337.25767902983097</v>
      </c>
      <c r="K293" s="44">
        <v>275.54431294606559</v>
      </c>
      <c r="L293" s="44">
        <v>400.18026137899955</v>
      </c>
      <c r="M293" s="44">
        <v>301.09145652992095</v>
      </c>
    </row>
    <row r="294" spans="2:13">
      <c r="B294" s="117" t="s">
        <v>129</v>
      </c>
      <c r="C294" s="1300">
        <f>C295-SUM(C279:C293)</f>
        <v>10592</v>
      </c>
      <c r="D294" s="1450">
        <f>D295-SUM(D279:D293)</f>
        <v>10401</v>
      </c>
      <c r="E294" s="39">
        <f>E295-E293-E292-E291-E290-E289-E288-E287-E286-E285-E284-E283-E282-E281-E280-E279</f>
        <v>9178.5375118708325</v>
      </c>
      <c r="F294" s="39">
        <f>F295-F293-F292-F291-F290-F289-F288-F287-F286-F285-F284-F283-F282-F281-F280-F279</f>
        <v>6939.2068994673173</v>
      </c>
      <c r="G294" s="109">
        <v>6102.2587988093137</v>
      </c>
      <c r="H294" s="109">
        <v>7688.2536846806597</v>
      </c>
      <c r="I294" s="109">
        <v>5657.9170194750186</v>
      </c>
      <c r="J294" s="109">
        <v>6254.7579003275232</v>
      </c>
      <c r="K294" s="109">
        <v>6864.2153762760872</v>
      </c>
      <c r="L294" s="109">
        <v>6496.6200991437581</v>
      </c>
      <c r="M294" s="136">
        <v>4948.4380880692515</v>
      </c>
    </row>
    <row r="295" spans="2:13">
      <c r="B295" s="85" t="s">
        <v>3</v>
      </c>
      <c r="C295" s="48">
        <v>241459</v>
      </c>
      <c r="D295" s="48">
        <v>247310</v>
      </c>
      <c r="E295" s="73">
        <v>255719.8480531814</v>
      </c>
      <c r="F295" s="73">
        <v>211678.36306755728</v>
      </c>
      <c r="G295" s="73">
        <v>157827.00052530202</v>
      </c>
      <c r="H295" s="73">
        <v>160843.23358642252</v>
      </c>
      <c r="I295" s="73">
        <v>135957.66299745976</v>
      </c>
      <c r="J295" s="73">
        <v>119453.83730193858</v>
      </c>
      <c r="K295" s="73">
        <v>115493.72120336074</v>
      </c>
      <c r="L295" s="73">
        <v>108606.57954033349</v>
      </c>
      <c r="M295" s="73">
        <v>88581.859239744066</v>
      </c>
    </row>
    <row r="296" spans="2:13">
      <c r="B296" s="950" t="s">
        <v>2413</v>
      </c>
      <c r="C296" s="77"/>
      <c r="D296" s="77"/>
      <c r="E296" s="77"/>
      <c r="F296" s="77"/>
      <c r="G296" s="77"/>
      <c r="H296" s="77"/>
      <c r="I296" s="77"/>
      <c r="J296" s="77"/>
      <c r="K296" s="77"/>
      <c r="L296" s="113"/>
      <c r="M296" s="113"/>
    </row>
    <row r="297" spans="2:13">
      <c r="C297" s="23"/>
      <c r="D297" s="23"/>
      <c r="E297" s="23"/>
    </row>
    <row r="299" spans="2:13" ht="15.6">
      <c r="B299" s="295" t="s">
        <v>581</v>
      </c>
      <c r="C299" s="295"/>
      <c r="D299" s="295"/>
      <c r="E299" s="295"/>
      <c r="F299" s="295"/>
      <c r="G299" s="295"/>
      <c r="H299" s="295"/>
      <c r="I299" s="295"/>
      <c r="J299" s="847"/>
      <c r="K299" s="847"/>
      <c r="L299" s="847"/>
      <c r="M299" s="847"/>
    </row>
    <row r="300" spans="2:13" ht="15.6">
      <c r="B300" s="296" t="s">
        <v>582</v>
      </c>
      <c r="C300" s="295"/>
      <c r="D300" s="295"/>
      <c r="E300" s="295"/>
      <c r="F300" s="295"/>
      <c r="G300" s="295"/>
      <c r="H300" s="295"/>
      <c r="I300" s="295"/>
      <c r="J300" s="295"/>
      <c r="K300" s="295"/>
    </row>
    <row r="301" spans="2:13">
      <c r="B301" s="172"/>
      <c r="C301" s="115">
        <v>2024</v>
      </c>
      <c r="D301" s="115">
        <v>2023</v>
      </c>
      <c r="E301" s="174">
        <v>2022</v>
      </c>
      <c r="F301" s="174">
        <v>2021</v>
      </c>
      <c r="G301" s="174">
        <v>2020</v>
      </c>
      <c r="H301" s="174">
        <v>2019</v>
      </c>
      <c r="I301" s="174">
        <v>2018</v>
      </c>
      <c r="J301" s="174">
        <v>2017</v>
      </c>
      <c r="K301" s="174">
        <v>2016</v>
      </c>
      <c r="L301" s="174">
        <v>2015</v>
      </c>
      <c r="M301" s="174">
        <v>2014</v>
      </c>
    </row>
    <row r="302" spans="2:13" ht="15" thickBot="1">
      <c r="B302" s="36" t="s">
        <v>1555</v>
      </c>
      <c r="C302" s="1142">
        <v>168810</v>
      </c>
      <c r="D302" s="1269">
        <v>166669</v>
      </c>
      <c r="E302" s="44">
        <v>173303.89363722698</v>
      </c>
      <c r="F302" s="44">
        <v>151073.81415405427</v>
      </c>
      <c r="G302" s="44">
        <v>128515.1462090702</v>
      </c>
      <c r="H302" s="44">
        <v>128540.41983028139</v>
      </c>
      <c r="I302" s="44">
        <v>122266.72311600338</v>
      </c>
      <c r="J302" s="44">
        <v>118883.77445339471</v>
      </c>
      <c r="K302" s="44">
        <v>116711.53672418465</v>
      </c>
      <c r="L302" s="44">
        <v>120017.12483100497</v>
      </c>
      <c r="M302" s="44">
        <v>113250.28227324049</v>
      </c>
    </row>
    <row r="303" spans="2:13" ht="15" thickBot="1">
      <c r="B303" s="36" t="s">
        <v>698</v>
      </c>
      <c r="C303" s="1142">
        <v>29320</v>
      </c>
      <c r="D303" s="1269">
        <v>29172</v>
      </c>
      <c r="E303" s="44">
        <v>23706.552706552709</v>
      </c>
      <c r="F303" s="44">
        <v>20248.583749048787</v>
      </c>
      <c r="G303" s="44">
        <v>12847.137103834704</v>
      </c>
      <c r="H303" s="44">
        <v>17930.326038410007</v>
      </c>
      <c r="I303" s="44">
        <v>14745.131244707874</v>
      </c>
      <c r="J303" s="44">
        <v>16100.734708329646</v>
      </c>
      <c r="K303" s="44">
        <v>16582.347095491914</v>
      </c>
      <c r="L303" s="44">
        <v>14325.371789094188</v>
      </c>
      <c r="M303" s="44">
        <v>12758.750470455401</v>
      </c>
    </row>
    <row r="304" spans="2:13" ht="15" thickBot="1">
      <c r="B304" s="299" t="s">
        <v>1556</v>
      </c>
      <c r="C304" s="1301">
        <v>198130</v>
      </c>
      <c r="D304" s="1268">
        <f>D302+D303</f>
        <v>195841</v>
      </c>
      <c r="E304" s="43">
        <f>E303+E302</f>
        <v>197010.44634377968</v>
      </c>
      <c r="F304" s="43">
        <f>F302+F303</f>
        <v>171322.39790310306</v>
      </c>
      <c r="G304" s="43">
        <v>141362.28331290491</v>
      </c>
      <c r="H304" s="43">
        <v>146470.74586869139</v>
      </c>
      <c r="I304" s="43">
        <v>137011.85436071127</v>
      </c>
      <c r="J304" s="43">
        <v>134984.50916172436</v>
      </c>
      <c r="K304" s="43">
        <v>133293.88381967659</v>
      </c>
      <c r="L304" s="43">
        <v>134342.49662009915</v>
      </c>
      <c r="M304" s="43">
        <v>126008.28001505457</v>
      </c>
    </row>
    <row r="305" spans="2:13" ht="15" thickBot="1">
      <c r="B305" s="36" t="s">
        <v>1557</v>
      </c>
      <c r="C305" s="1142">
        <v>142454</v>
      </c>
      <c r="D305" s="1269">
        <v>135055</v>
      </c>
      <c r="E305" s="44">
        <v>139148.14814814815</v>
      </c>
      <c r="F305" s="44">
        <v>129512.13325441784</v>
      </c>
      <c r="G305" s="44">
        <v>102271.9313605323</v>
      </c>
      <c r="H305" s="44">
        <v>92099.151406878082</v>
      </c>
      <c r="I305" s="44">
        <v>80642.675698560532</v>
      </c>
      <c r="J305" s="44">
        <v>78004.780030096488</v>
      </c>
      <c r="K305" s="44">
        <v>76551.630680278249</v>
      </c>
      <c r="L305" s="44">
        <v>81005.858494817498</v>
      </c>
      <c r="M305" s="44">
        <v>64383.138878434322</v>
      </c>
    </row>
    <row r="306" spans="2:13" ht="15" thickBot="1">
      <c r="B306" s="36" t="s">
        <v>1558</v>
      </c>
      <c r="C306" s="1142">
        <v>37615</v>
      </c>
      <c r="D306" s="1269">
        <v>36112</v>
      </c>
      <c r="E306" s="44">
        <v>29634.377967711302</v>
      </c>
      <c r="F306" s="44">
        <v>23888.560074406018</v>
      </c>
      <c r="G306" s="44">
        <v>17227.280686394675</v>
      </c>
      <c r="H306" s="44">
        <v>15103.171058508264</v>
      </c>
      <c r="I306" s="44">
        <v>9210.8382726502969</v>
      </c>
      <c r="J306" s="44">
        <v>9051.0755067717091</v>
      </c>
      <c r="K306" s="44">
        <v>9460.6558858072094</v>
      </c>
      <c r="L306" s="44">
        <v>11028.391167192429</v>
      </c>
      <c r="M306" s="44">
        <v>9047.7982687241256</v>
      </c>
    </row>
    <row r="307" spans="2:13" ht="15" thickBot="1">
      <c r="B307" s="36" t="s">
        <v>702</v>
      </c>
      <c r="C307" s="1142">
        <v>4549</v>
      </c>
      <c r="D307" s="1269">
        <v>4407</v>
      </c>
      <c r="E307" s="44">
        <v>2612.5356125356125</v>
      </c>
      <c r="F307" s="44">
        <v>2501.056903694935</v>
      </c>
      <c r="G307" s="44">
        <v>1780.7739450183853</v>
      </c>
      <c r="H307" s="44">
        <v>3027.2443054935243</v>
      </c>
      <c r="I307" s="44">
        <v>3144.7925486875529</v>
      </c>
      <c r="J307" s="44">
        <v>3480.5700628485442</v>
      </c>
      <c r="K307" s="44">
        <v>3180.955822567531</v>
      </c>
      <c r="L307" s="44">
        <v>3246.5074357818839</v>
      </c>
      <c r="M307" s="44">
        <v>2189.6876176138503</v>
      </c>
    </row>
    <row r="308" spans="2:13" ht="15" thickBot="1">
      <c r="B308" s="36" t="s">
        <v>71</v>
      </c>
      <c r="C308" s="1142">
        <v>42984</v>
      </c>
      <c r="D308" s="1269">
        <v>37791</v>
      </c>
      <c r="E308" s="44">
        <v>29456.790123456791</v>
      </c>
      <c r="F308" s="44">
        <v>17499.788619261013</v>
      </c>
      <c r="G308" s="44">
        <v>11939.240063036244</v>
      </c>
      <c r="H308" s="44">
        <v>12198.302813756141</v>
      </c>
      <c r="I308" s="44">
        <v>11425.910245554614</v>
      </c>
      <c r="J308" s="44">
        <v>12302.381163140657</v>
      </c>
      <c r="K308" s="44">
        <v>11721.926099918692</v>
      </c>
      <c r="L308" s="44">
        <v>10909.418657052727</v>
      </c>
      <c r="M308" s="44">
        <v>9062.8528415506207</v>
      </c>
    </row>
    <row r="309" spans="2:13" ht="15" thickBot="1">
      <c r="B309" s="36" t="s">
        <v>1559</v>
      </c>
      <c r="C309" s="1142">
        <v>706341</v>
      </c>
      <c r="D309" s="1269">
        <v>685418</v>
      </c>
      <c r="E309" s="44">
        <v>656254.51092117757</v>
      </c>
      <c r="F309" s="44">
        <v>546011.66821679205</v>
      </c>
      <c r="G309" s="44">
        <v>408612.32708807563</v>
      </c>
      <c r="H309" s="44">
        <v>393881.19696292991</v>
      </c>
      <c r="I309" s="44">
        <v>343171.04149026249</v>
      </c>
      <c r="J309" s="44">
        <v>328595.20226608834</v>
      </c>
      <c r="K309" s="44">
        <v>307357.4848676484</v>
      </c>
      <c r="L309" s="44">
        <v>290370.43713384407</v>
      </c>
      <c r="M309" s="44">
        <v>232742.19044034625</v>
      </c>
    </row>
    <row r="310" spans="2:13" ht="15" thickBot="1">
      <c r="B310" s="118" t="s">
        <v>1560</v>
      </c>
      <c r="C310" s="1301">
        <v>933945</v>
      </c>
      <c r="D310" s="1268">
        <f>SUM(D305:D309)</f>
        <v>898783</v>
      </c>
      <c r="E310" s="43">
        <f>E309+E308+E307+E306+E305</f>
        <v>857106.36277302937</v>
      </c>
      <c r="F310" s="43">
        <f>F305+F306+F307+F308+F309</f>
        <v>719413.20706857182</v>
      </c>
      <c r="G310" s="43">
        <v>541831.55314305716</v>
      </c>
      <c r="H310" s="43">
        <v>516309.95980348374</v>
      </c>
      <c r="I310" s="43">
        <v>447595.25825571548</v>
      </c>
      <c r="J310" s="43">
        <v>431434.89421970438</v>
      </c>
      <c r="K310" s="43">
        <v>408273.55678019696</v>
      </c>
      <c r="L310" s="43">
        <v>396561.51419558364</v>
      </c>
      <c r="M310" s="43">
        <v>317424.91531802784</v>
      </c>
    </row>
    <row r="311" spans="2:13" ht="15" thickBot="1">
      <c r="B311" s="305" t="s">
        <v>113</v>
      </c>
      <c r="C311" s="1142">
        <v>1006399</v>
      </c>
      <c r="D311" s="1269">
        <v>889845</v>
      </c>
      <c r="E311" s="44">
        <v>768414.05508072174</v>
      </c>
      <c r="F311" s="44">
        <v>620607.08548237081</v>
      </c>
      <c r="G311" s="44">
        <v>484474.69795132196</v>
      </c>
      <c r="H311" s="44">
        <v>505028.13756141136</v>
      </c>
      <c r="I311" s="44">
        <v>435845.89331075357</v>
      </c>
      <c r="J311" s="44">
        <v>416577.85252721963</v>
      </c>
      <c r="K311" s="44">
        <v>417023.21799620561</v>
      </c>
      <c r="L311" s="44">
        <v>383612.43803515099</v>
      </c>
      <c r="M311" s="44">
        <v>326059.46556266467</v>
      </c>
    </row>
    <row r="312" spans="2:13" ht="15" thickBot="1">
      <c r="B312" s="36" t="s">
        <v>117</v>
      </c>
      <c r="C312" s="1142">
        <v>166380</v>
      </c>
      <c r="D312" s="1269">
        <v>150192</v>
      </c>
      <c r="E312" s="44">
        <v>126887.93922127257</v>
      </c>
      <c r="F312" s="44">
        <v>102769.93320368648</v>
      </c>
      <c r="G312" s="44">
        <v>79514.971108387312</v>
      </c>
      <c r="H312" s="44">
        <v>80001.786511835642</v>
      </c>
      <c r="I312" s="44">
        <v>72320.914479254861</v>
      </c>
      <c r="J312" s="44">
        <v>74260.423121182626</v>
      </c>
      <c r="K312" s="44">
        <v>67529.135423254134</v>
      </c>
      <c r="L312" s="44">
        <v>62883.280757097797</v>
      </c>
      <c r="M312" s="44">
        <v>57151.674821226945</v>
      </c>
    </row>
    <row r="313" spans="2:13" ht="15" thickBot="1">
      <c r="B313" s="36" t="s">
        <v>120</v>
      </c>
      <c r="C313" s="1142">
        <v>20042</v>
      </c>
      <c r="D313" s="1269">
        <v>15552</v>
      </c>
      <c r="E313" s="44">
        <v>14414.055080721748</v>
      </c>
      <c r="F313" s="44">
        <v>10470.110763507228</v>
      </c>
      <c r="G313" s="44">
        <v>5198.7392750831723</v>
      </c>
      <c r="H313" s="44">
        <v>13627.51228226887</v>
      </c>
      <c r="I313" s="44">
        <v>15707.027942421675</v>
      </c>
      <c r="J313" s="44">
        <v>15841.373816057361</v>
      </c>
      <c r="K313" s="44">
        <v>15094.40780558316</v>
      </c>
      <c r="L313" s="44">
        <v>11886.435331230285</v>
      </c>
      <c r="M313" s="44">
        <v>9665.7884832517884</v>
      </c>
    </row>
    <row r="314" spans="2:13" ht="15" thickBot="1">
      <c r="B314" s="36" t="s">
        <v>115</v>
      </c>
      <c r="C314" s="1142">
        <v>307144</v>
      </c>
      <c r="D314" s="1269">
        <v>254865</v>
      </c>
      <c r="E314" s="44">
        <v>223679.96201329536</v>
      </c>
      <c r="F314" s="44">
        <v>177404.24452523884</v>
      </c>
      <c r="G314" s="44">
        <v>141596.04272456662</v>
      </c>
      <c r="H314" s="44">
        <v>138750.33497096918</v>
      </c>
      <c r="I314" s="44">
        <v>131850.97375105842</v>
      </c>
      <c r="J314" s="44">
        <v>136987.69584845536</v>
      </c>
      <c r="K314" s="44">
        <v>135314.84325594001</v>
      </c>
      <c r="L314" s="44">
        <v>126824.69580892294</v>
      </c>
      <c r="M314" s="44">
        <v>107011.66729394054</v>
      </c>
    </row>
    <row r="315" spans="2:13" ht="15" thickBot="1">
      <c r="B315" s="36" t="s">
        <v>114</v>
      </c>
      <c r="C315" s="1142">
        <v>93943</v>
      </c>
      <c r="D315" s="1269">
        <v>103472</v>
      </c>
      <c r="E315" s="44">
        <v>83718.898385565059</v>
      </c>
      <c r="F315" s="44">
        <v>64970.829458019783</v>
      </c>
      <c r="G315" s="44">
        <v>49151.637191385045</v>
      </c>
      <c r="H315" s="44">
        <v>49650.736936132205</v>
      </c>
      <c r="I315" s="44">
        <v>45145.639288738355</v>
      </c>
      <c r="J315" s="44">
        <v>43558.466849606091</v>
      </c>
      <c r="K315" s="44">
        <v>39990.96576023128</v>
      </c>
      <c r="L315" s="44">
        <v>34006.309148264983</v>
      </c>
      <c r="M315" s="44">
        <v>25629.657508468197</v>
      </c>
    </row>
    <row r="316" spans="2:13" ht="15" thickBot="1">
      <c r="B316" s="36" t="s">
        <v>689</v>
      </c>
      <c r="C316" s="1142">
        <v>621759</v>
      </c>
      <c r="D316" s="1269">
        <v>617641</v>
      </c>
      <c r="E316" s="44">
        <v>594715.09971509979</v>
      </c>
      <c r="F316" s="44">
        <v>480195.31580282398</v>
      </c>
      <c r="G316" s="44">
        <v>329472.94694449304</v>
      </c>
      <c r="H316" s="44">
        <v>366383.20678874501</v>
      </c>
      <c r="I316" s="44">
        <v>337206.60457239626</v>
      </c>
      <c r="J316" s="44">
        <v>350223.95326192799</v>
      </c>
      <c r="K316" s="44">
        <v>334279.5193784443</v>
      </c>
      <c r="L316" s="44">
        <v>294032.44704821991</v>
      </c>
      <c r="M316" s="44">
        <v>237596.5374482499</v>
      </c>
    </row>
    <row r="317" spans="2:13" ht="15" thickBot="1">
      <c r="B317" s="36" t="s">
        <v>690</v>
      </c>
      <c r="C317" s="1142">
        <v>41723</v>
      </c>
      <c r="D317" s="1269">
        <v>39618</v>
      </c>
      <c r="E317" s="44">
        <v>31746.438746438747</v>
      </c>
      <c r="F317" s="44">
        <v>25304.811025619343</v>
      </c>
      <c r="G317" s="44">
        <v>16333.39170022763</v>
      </c>
      <c r="H317" s="44">
        <v>16033.050468959358</v>
      </c>
      <c r="I317" s="44">
        <v>11815.41066892464</v>
      </c>
      <c r="J317" s="44">
        <v>9068.779321943879</v>
      </c>
      <c r="K317" s="44">
        <v>10086.728701779746</v>
      </c>
      <c r="L317" s="44">
        <v>11018.476791347455</v>
      </c>
      <c r="M317" s="44">
        <v>5321.791494166353</v>
      </c>
    </row>
    <row r="318" spans="2:13" ht="15" thickBot="1">
      <c r="B318" s="274" t="s">
        <v>393</v>
      </c>
      <c r="C318" s="1451">
        <v>2257390</v>
      </c>
      <c r="D318" s="1452">
        <f>SUM(D311:D317)</f>
        <v>2071185</v>
      </c>
      <c r="E318" s="45">
        <f>E317+E316+E315+E314+E313+E312+E311</f>
        <v>1843576.4482431151</v>
      </c>
      <c r="F318" s="45">
        <f>F317+F316+F315+F314+F313+F312+F311</f>
        <v>1481722.3302612663</v>
      </c>
      <c r="G318" s="45">
        <v>1105741.5513920502</v>
      </c>
      <c r="H318" s="45">
        <v>1169475.6587762395</v>
      </c>
      <c r="I318" s="45">
        <v>1049891.6172734969</v>
      </c>
      <c r="J318" s="45">
        <v>1046518.5447463929</v>
      </c>
      <c r="K318" s="43">
        <v>1019319.7217454151</v>
      </c>
      <c r="L318" s="43">
        <v>924264.98422712937</v>
      </c>
      <c r="M318" s="43">
        <v>768437.33534060966</v>
      </c>
    </row>
    <row r="319" spans="2:13" ht="21" thickBot="1">
      <c r="B319" s="36" t="s">
        <v>705</v>
      </c>
      <c r="C319" s="1142">
        <v>166736</v>
      </c>
      <c r="D319" s="1269">
        <v>170189</v>
      </c>
      <c r="E319" s="44">
        <v>170429.24976258312</v>
      </c>
      <c r="F319" s="44">
        <v>147552.21104252979</v>
      </c>
      <c r="G319" s="44">
        <v>107192.26054981613</v>
      </c>
      <c r="H319" s="44">
        <v>106672.62170611881</v>
      </c>
      <c r="I319" s="44">
        <v>83807.790008467404</v>
      </c>
      <c r="J319" s="44">
        <v>74516.243250420477</v>
      </c>
      <c r="K319" s="44">
        <v>67296.95546119794</v>
      </c>
      <c r="L319" s="44">
        <v>62296.529968454262</v>
      </c>
      <c r="M319" s="44">
        <v>52957.470831765146</v>
      </c>
    </row>
    <row r="320" spans="2:13" ht="21" thickBot="1">
      <c r="B320" s="36" t="s">
        <v>706</v>
      </c>
      <c r="C320" s="1142">
        <v>74723</v>
      </c>
      <c r="D320" s="1269">
        <v>77121</v>
      </c>
      <c r="E320" s="44">
        <v>85289.648622981957</v>
      </c>
      <c r="F320" s="44">
        <v>64126.152025027477</v>
      </c>
      <c r="G320" s="44">
        <v>50634.7399754859</v>
      </c>
      <c r="H320" s="44">
        <v>54170.61188030371</v>
      </c>
      <c r="I320" s="44">
        <v>52150.71972904318</v>
      </c>
      <c r="J320" s="44">
        <v>44937.594051518106</v>
      </c>
      <c r="K320" s="44">
        <v>48196.765742162796</v>
      </c>
      <c r="L320" s="44">
        <v>46310.04957187923</v>
      </c>
      <c r="M320" s="44">
        <v>35623.635679337596</v>
      </c>
    </row>
    <row r="321" spans="2:14">
      <c r="B321" s="848" t="s">
        <v>1561</v>
      </c>
      <c r="C321" s="1302">
        <v>241459</v>
      </c>
      <c r="D321" s="1270">
        <f>SUM(D319:D320)</f>
        <v>247310</v>
      </c>
      <c r="E321" s="126">
        <f>E320+E319</f>
        <v>255718.89838556509</v>
      </c>
      <c r="F321" s="126">
        <f>F320+F319</f>
        <v>211678.36306755728</v>
      </c>
      <c r="G321" s="126">
        <v>157827.00052530202</v>
      </c>
      <c r="H321" s="126">
        <v>160843.23358642252</v>
      </c>
      <c r="I321" s="126">
        <v>135957.66299745976</v>
      </c>
      <c r="J321" s="126">
        <v>119453.83730193858</v>
      </c>
      <c r="K321" s="126">
        <v>115493.72120336074</v>
      </c>
      <c r="L321" s="126">
        <v>108606.57954033349</v>
      </c>
      <c r="M321" s="126">
        <v>88581.859239744066</v>
      </c>
    </row>
    <row r="322" spans="2:14">
      <c r="B322" s="261" t="s">
        <v>52</v>
      </c>
      <c r="C322" s="1453">
        <f>SUM(C304,C310,C318,C321)</f>
        <v>3630924</v>
      </c>
      <c r="D322" s="1453">
        <f>SUM(D304,D310,D318,D321)</f>
        <v>3413119</v>
      </c>
      <c r="E322" s="849">
        <v>3153413.1054131058</v>
      </c>
      <c r="F322" s="849">
        <v>2584137.1438234546</v>
      </c>
      <c r="G322" s="849">
        <v>1946762.3883733144</v>
      </c>
      <c r="H322" s="849">
        <v>1993099.5980348371</v>
      </c>
      <c r="I322" s="849">
        <v>1770456.3928873835</v>
      </c>
      <c r="J322" s="849">
        <v>1732390.9002390017</v>
      </c>
      <c r="K322" s="849">
        <v>1676380.8835486495</v>
      </c>
      <c r="L322" s="849">
        <v>1563774.6732762507</v>
      </c>
      <c r="M322" s="849">
        <v>1300452.3899134363</v>
      </c>
    </row>
    <row r="323" spans="2:14">
      <c r="B323" s="950" t="s">
        <v>2413</v>
      </c>
    </row>
    <row r="324" spans="2:14">
      <c r="B324" s="87"/>
      <c r="C324" s="23"/>
      <c r="D324" s="23"/>
      <c r="E324" s="23"/>
      <c r="F324" s="23"/>
      <c r="G324" s="23"/>
      <c r="H324" s="23"/>
      <c r="I324" s="23"/>
    </row>
    <row r="326" spans="2:14" ht="15.6">
      <c r="B326" s="83" t="s">
        <v>837</v>
      </c>
      <c r="C326" s="83"/>
      <c r="D326" s="83"/>
      <c r="E326" s="83"/>
      <c r="F326" s="83"/>
      <c r="G326" s="83"/>
      <c r="H326" s="83"/>
      <c r="I326" s="83"/>
      <c r="J326" s="83"/>
      <c r="K326" s="83"/>
    </row>
    <row r="327" spans="2:14">
      <c r="B327" s="1" t="s">
        <v>1563</v>
      </c>
      <c r="C327" s="1"/>
      <c r="D327" s="1"/>
      <c r="E327" s="1"/>
      <c r="F327" s="1"/>
      <c r="G327" s="1"/>
      <c r="H327" s="1"/>
      <c r="I327" s="1"/>
      <c r="J327" s="1"/>
      <c r="K327" s="1"/>
    </row>
    <row r="328" spans="2:14">
      <c r="B328" s="271" t="s">
        <v>590</v>
      </c>
      <c r="C328" s="271">
        <v>2024</v>
      </c>
      <c r="D328" s="271">
        <v>2023</v>
      </c>
      <c r="E328" s="115">
        <v>2022</v>
      </c>
      <c r="F328" s="115">
        <v>2021</v>
      </c>
      <c r="G328" s="115">
        <v>2020</v>
      </c>
      <c r="H328" s="115">
        <v>2019</v>
      </c>
      <c r="I328" s="115">
        <v>2018</v>
      </c>
      <c r="J328" s="115">
        <v>2017</v>
      </c>
      <c r="K328" s="115">
        <v>2016</v>
      </c>
      <c r="L328" s="115">
        <v>2015</v>
      </c>
      <c r="M328" s="115">
        <v>2014</v>
      </c>
      <c r="N328" s="94"/>
    </row>
    <row r="329" spans="2:14" ht="15" thickBot="1">
      <c r="B329" s="95" t="s">
        <v>13</v>
      </c>
      <c r="C329" s="1142">
        <v>29122</v>
      </c>
      <c r="D329" s="1269">
        <v>36087</v>
      </c>
      <c r="E329" s="44">
        <v>46607.787274453942</v>
      </c>
      <c r="F329" s="44">
        <v>35813.815845100195</v>
      </c>
      <c r="G329" s="44">
        <v>36359.656802661528</v>
      </c>
      <c r="H329" s="44">
        <v>47930.326038410007</v>
      </c>
      <c r="I329" s="44">
        <v>42905.165114309908</v>
      </c>
      <c r="J329" s="44">
        <v>52446.667256793844</v>
      </c>
      <c r="K329" s="44">
        <v>67373.746499232089</v>
      </c>
      <c r="L329" s="44">
        <v>48657.052726453359</v>
      </c>
      <c r="M329" s="44">
        <v>37034.249153180281</v>
      </c>
      <c r="N329" s="39"/>
    </row>
    <row r="330" spans="2:14" ht="15" thickBot="1">
      <c r="B330" s="95" t="s">
        <v>32</v>
      </c>
      <c r="C330" s="1142">
        <v>28743</v>
      </c>
      <c r="D330" s="1269">
        <v>28498</v>
      </c>
      <c r="E330" s="44">
        <v>31659.069325735993</v>
      </c>
      <c r="F330" s="44">
        <v>26770.947831233618</v>
      </c>
      <c r="G330" s="44">
        <v>20949.045701278232</v>
      </c>
      <c r="H330" s="44">
        <v>21184.457347029926</v>
      </c>
      <c r="I330" s="44">
        <v>20294.665537679932</v>
      </c>
      <c r="J330" s="44">
        <v>20786.934584402941</v>
      </c>
      <c r="K330" s="44">
        <v>18225.675309422713</v>
      </c>
      <c r="L330" s="44">
        <v>19223.974763406943</v>
      </c>
      <c r="M330" s="44">
        <v>17139.63116296575</v>
      </c>
      <c r="N330" s="39"/>
    </row>
    <row r="331" spans="2:14" ht="15" thickBot="1">
      <c r="B331" s="95" t="s">
        <v>38</v>
      </c>
      <c r="C331" s="1142">
        <v>15261</v>
      </c>
      <c r="D331" s="1269">
        <v>14491</v>
      </c>
      <c r="E331" s="44">
        <v>15622.981956315291</v>
      </c>
      <c r="F331" s="44">
        <v>13007.525154307939</v>
      </c>
      <c r="G331" s="44">
        <v>11442.829627035544</v>
      </c>
      <c r="H331" s="44">
        <v>12798.570790531488</v>
      </c>
      <c r="I331" s="44">
        <v>13944.961896697714</v>
      </c>
      <c r="J331" s="44">
        <v>15557.227582544039</v>
      </c>
      <c r="K331" s="44">
        <v>16472.129370313487</v>
      </c>
      <c r="L331" s="44">
        <v>14912.12257773772</v>
      </c>
      <c r="M331" s="44">
        <v>11686.864885208883</v>
      </c>
      <c r="N331" s="39"/>
    </row>
    <row r="332" spans="2:14" ht="15" thickBot="1">
      <c r="B332" s="95" t="s">
        <v>30</v>
      </c>
      <c r="C332" s="1142">
        <v>1637</v>
      </c>
      <c r="D332" s="1269">
        <v>1551</v>
      </c>
      <c r="E332" s="44">
        <v>1668.5660018993353</v>
      </c>
      <c r="F332" s="44">
        <v>1443.3076858036695</v>
      </c>
      <c r="G332" s="44">
        <v>1395.5524426545262</v>
      </c>
      <c r="H332" s="44">
        <v>1996.4269763287182</v>
      </c>
      <c r="I332" s="44">
        <v>1663.8441998306519</v>
      </c>
      <c r="J332" s="44">
        <v>1484.4649021864213</v>
      </c>
      <c r="K332" s="44">
        <v>1404.8242840364983</v>
      </c>
      <c r="L332" s="44">
        <v>1534.9256421811629</v>
      </c>
      <c r="M332" s="44">
        <v>1383.5152427549867</v>
      </c>
      <c r="N332" s="39"/>
    </row>
    <row r="333" spans="2:14" ht="15" thickBot="1">
      <c r="B333" s="106" t="s">
        <v>10</v>
      </c>
      <c r="C333" s="1303">
        <v>950</v>
      </c>
      <c r="D333" s="1454">
        <v>813</v>
      </c>
      <c r="E333" s="75">
        <v>752.13675213675219</v>
      </c>
      <c r="F333" s="75">
        <v>1044.2208505960937</v>
      </c>
      <c r="G333" s="75">
        <v>487.65540185606721</v>
      </c>
      <c r="H333" s="75">
        <v>1187.1371147833854</v>
      </c>
      <c r="I333" s="44">
        <v>1436.9178662150719</v>
      </c>
      <c r="J333" s="44">
        <v>1807.5595290785166</v>
      </c>
      <c r="K333" s="44">
        <v>1055.1992049869004</v>
      </c>
      <c r="L333" s="44">
        <v>1443.8936457863904</v>
      </c>
      <c r="M333" s="44">
        <v>834.0233345878811</v>
      </c>
      <c r="N333" s="39"/>
    </row>
    <row r="334" spans="2:14" ht="15" thickBot="1">
      <c r="B334" s="95" t="s">
        <v>1656</v>
      </c>
      <c r="C334" s="1142">
        <v>726</v>
      </c>
      <c r="D334" s="1269">
        <v>1040</v>
      </c>
      <c r="E334" s="44">
        <v>1284.900284900285</v>
      </c>
      <c r="F334" s="44">
        <v>820.15726726980631</v>
      </c>
      <c r="G334" s="44">
        <v>599.7198389073717</v>
      </c>
      <c r="H334" s="44">
        <v>895.935685573917</v>
      </c>
      <c r="I334" s="44">
        <v>983.91193903471628</v>
      </c>
      <c r="J334" s="44">
        <v>1035.6731875719217</v>
      </c>
      <c r="K334" s="44">
        <v>579.09476917517395</v>
      </c>
      <c r="L334" s="44">
        <v>356.91753041910772</v>
      </c>
      <c r="M334" s="44">
        <v>88.821979676326677</v>
      </c>
      <c r="N334" s="39"/>
    </row>
    <row r="335" spans="2:14" ht="15" thickBot="1">
      <c r="B335" s="95" t="s">
        <v>19</v>
      </c>
      <c r="C335" s="1142">
        <v>16</v>
      </c>
      <c r="D335" s="1269">
        <v>3</v>
      </c>
      <c r="E335" s="44">
        <v>99.715099715099726</v>
      </c>
      <c r="F335" s="44">
        <v>728.84078802739486</v>
      </c>
      <c r="G335" s="44">
        <v>337.06881456837681</v>
      </c>
      <c r="H335" s="44">
        <v>39.303260384100049</v>
      </c>
      <c r="I335" s="44">
        <v>17.781541066892462</v>
      </c>
      <c r="J335" s="44">
        <v>123.92670620518723</v>
      </c>
      <c r="K335" s="44">
        <v>45.171198843617312</v>
      </c>
      <c r="L335" s="44">
        <v>68.499324019828762</v>
      </c>
      <c r="M335" s="44">
        <v>38.389160707564919</v>
      </c>
      <c r="N335" s="39"/>
    </row>
    <row r="336" spans="2:14" ht="15" thickBot="1">
      <c r="B336" s="95" t="s">
        <v>1567</v>
      </c>
      <c r="C336" s="1142">
        <v>3</v>
      </c>
      <c r="D336" s="1269">
        <v>341</v>
      </c>
      <c r="E336" s="44">
        <v>1105.4131054131055</v>
      </c>
      <c r="F336" s="44">
        <v>723.76765029170542</v>
      </c>
      <c r="G336" s="44">
        <v>42.899667308702497</v>
      </c>
      <c r="H336" s="44">
        <v>690.48682447521219</v>
      </c>
      <c r="I336" s="44">
        <v>406.43522438611342</v>
      </c>
      <c r="J336" s="44">
        <v>23.014959723820485</v>
      </c>
      <c r="K336" s="44">
        <v>4.5171198843617306</v>
      </c>
      <c r="L336" s="44">
        <v>34.249662009914381</v>
      </c>
      <c r="M336" s="44">
        <v>280.0150545728265</v>
      </c>
      <c r="N336" s="39"/>
    </row>
    <row r="337" spans="2:14" ht="15" thickBot="1">
      <c r="B337" s="106" t="s">
        <v>1318</v>
      </c>
      <c r="C337" s="1303">
        <v>1085</v>
      </c>
      <c r="D337" s="1454">
        <v>790</v>
      </c>
      <c r="E337" s="75">
        <v>964.86229819563164</v>
      </c>
      <c r="F337" s="75">
        <v>617.23175784222542</v>
      </c>
      <c r="G337" s="75">
        <v>336.19331115391344</v>
      </c>
      <c r="H337" s="75">
        <v>701.20589548905764</v>
      </c>
      <c r="I337" s="44">
        <v>530.05927180355627</v>
      </c>
      <c r="J337" s="44">
        <v>598.38895281933264</v>
      </c>
      <c r="K337" s="44">
        <v>731.77342126660039</v>
      </c>
      <c r="L337" s="44">
        <v>785.0383055430375</v>
      </c>
      <c r="M337" s="44">
        <v>546.48099360180652</v>
      </c>
      <c r="N337" s="39"/>
    </row>
    <row r="338" spans="2:14" ht="15" thickBot="1">
      <c r="B338" s="95" t="s">
        <v>1863</v>
      </c>
      <c r="C338" s="1142">
        <v>685</v>
      </c>
      <c r="D338" s="1269">
        <v>610</v>
      </c>
      <c r="E338" s="44">
        <v>294.39696106362777</v>
      </c>
      <c r="F338" s="44">
        <v>532.67946224740001</v>
      </c>
      <c r="G338" s="44">
        <v>216.24934337243914</v>
      </c>
      <c r="H338" s="44">
        <v>979.90174184903981</v>
      </c>
      <c r="I338" s="44">
        <v>1859.441151566469</v>
      </c>
      <c r="J338" s="44">
        <v>567.40727626803584</v>
      </c>
      <c r="K338" s="44">
        <v>445.3880205980667</v>
      </c>
      <c r="L338" s="44">
        <v>590.35601622352419</v>
      </c>
      <c r="M338" s="44">
        <v>392.92435077154687</v>
      </c>
      <c r="N338" s="39"/>
    </row>
    <row r="339" spans="2:14">
      <c r="B339" s="117" t="s">
        <v>129</v>
      </c>
      <c r="C339" s="1455">
        <f>C340-SUM(C329:C338)</f>
        <v>6566</v>
      </c>
      <c r="D339" s="1449">
        <f>D340-SUM(D329:D338)</f>
        <v>6947</v>
      </c>
      <c r="E339" s="109">
        <f>E340-E338-E337-E336-E335-E334-E333-E332-E331-E330-E329</f>
        <v>6353.2763532763711</v>
      </c>
      <c r="F339" s="109">
        <v>4190.4117696795465</v>
      </c>
      <c r="G339" s="109">
        <v>4850.2889161267694</v>
      </c>
      <c r="H339" s="109">
        <v>6447.5212148280507</v>
      </c>
      <c r="I339" s="109">
        <v>9580.863674851822</v>
      </c>
      <c r="J339" s="109">
        <v>4943.790386828362</v>
      </c>
      <c r="K339" s="109">
        <v>6931.0687505646401</v>
      </c>
      <c r="L339" s="109">
        <v>9240.198287516896</v>
      </c>
      <c r="M339" s="109">
        <v>9899.8870907037999</v>
      </c>
      <c r="N339" s="39"/>
    </row>
    <row r="340" spans="2:14">
      <c r="B340" s="85" t="s">
        <v>3</v>
      </c>
      <c r="C340" s="1302">
        <v>84794</v>
      </c>
      <c r="D340" s="1302">
        <v>91171</v>
      </c>
      <c r="E340" s="73">
        <v>106413.10541310543</v>
      </c>
      <c r="F340" s="73">
        <v>85692.90606239959</v>
      </c>
      <c r="G340" s="73">
        <v>77017.159866923481</v>
      </c>
      <c r="H340" s="73">
        <v>94851.272889682892</v>
      </c>
      <c r="I340" s="73">
        <v>93625.740897544456</v>
      </c>
      <c r="J340" s="73">
        <v>99371.514561387987</v>
      </c>
      <c r="K340" s="73">
        <v>113264.97425241666</v>
      </c>
      <c r="L340" s="73">
        <v>96849.031095087877</v>
      </c>
      <c r="M340" s="73">
        <v>79324.802408731644</v>
      </c>
      <c r="N340" s="126"/>
    </row>
    <row r="341" spans="2:14">
      <c r="B341" s="950" t="s">
        <v>2413</v>
      </c>
      <c r="C341" s="77"/>
      <c r="D341" s="77"/>
      <c r="E341" s="77"/>
      <c r="F341" s="77"/>
      <c r="G341" s="77"/>
      <c r="H341" s="77"/>
      <c r="I341" s="77"/>
      <c r="J341" s="77"/>
      <c r="K341" s="77"/>
      <c r="L341" s="113"/>
      <c r="M341" s="113"/>
      <c r="N341" s="113"/>
    </row>
    <row r="342" spans="2:14">
      <c r="B342" s="77"/>
      <c r="C342" s="850"/>
      <c r="D342" s="850"/>
      <c r="E342" s="850"/>
      <c r="F342" s="850"/>
      <c r="G342" s="850"/>
      <c r="H342" s="850"/>
      <c r="I342" s="850"/>
      <c r="J342" s="850"/>
      <c r="K342" s="850"/>
      <c r="L342" s="850"/>
      <c r="M342" s="850"/>
      <c r="N342" s="850"/>
    </row>
    <row r="343" spans="2:14">
      <c r="C343" s="134"/>
      <c r="D343" s="134"/>
      <c r="E343" s="134"/>
      <c r="F343" s="134"/>
      <c r="G343" s="134"/>
      <c r="H343" s="134"/>
      <c r="I343" s="134"/>
      <c r="J343" s="134"/>
    </row>
    <row r="344" spans="2:14" ht="15.6">
      <c r="B344" s="83" t="s">
        <v>837</v>
      </c>
      <c r="C344" s="83"/>
      <c r="D344" s="83"/>
      <c r="E344" s="83"/>
      <c r="F344" s="83"/>
      <c r="G344" s="83"/>
      <c r="H344" s="83"/>
      <c r="I344" s="83"/>
      <c r="J344" s="83"/>
      <c r="K344" s="83"/>
    </row>
    <row r="345" spans="2:14">
      <c r="B345" s="1" t="s">
        <v>589</v>
      </c>
      <c r="C345" s="1"/>
      <c r="D345" s="1"/>
      <c r="E345" s="1"/>
      <c r="F345" s="1"/>
      <c r="G345" s="1"/>
      <c r="H345" s="1"/>
      <c r="I345" s="1"/>
      <c r="J345" s="1"/>
      <c r="K345" s="1"/>
    </row>
    <row r="346" spans="2:14">
      <c r="B346" s="271" t="s">
        <v>590</v>
      </c>
      <c r="C346" s="271">
        <v>2024</v>
      </c>
      <c r="D346" s="271">
        <v>2023</v>
      </c>
      <c r="E346" s="271">
        <v>2022</v>
      </c>
      <c r="F346" s="271">
        <v>2021</v>
      </c>
      <c r="G346" s="271">
        <v>2020</v>
      </c>
      <c r="H346" s="271">
        <v>2019</v>
      </c>
      <c r="I346" s="271">
        <v>2018</v>
      </c>
      <c r="J346" s="271">
        <v>2017</v>
      </c>
      <c r="K346" s="271">
        <v>2016</v>
      </c>
      <c r="L346" s="271">
        <v>2015</v>
      </c>
      <c r="M346" s="271">
        <v>2014</v>
      </c>
      <c r="N346" s="94"/>
    </row>
    <row r="347" spans="2:14" ht="15" thickBot="1">
      <c r="B347" s="95" t="s">
        <v>32</v>
      </c>
      <c r="C347" s="1142">
        <v>14916</v>
      </c>
      <c r="D347" s="1269">
        <v>14255</v>
      </c>
      <c r="E347" s="44">
        <v>15466.286799620133</v>
      </c>
      <c r="F347" s="44">
        <v>14211.549843578252</v>
      </c>
      <c r="G347" s="44">
        <v>10428.12116967256</v>
      </c>
      <c r="H347" s="44">
        <v>11967.842786958465</v>
      </c>
      <c r="I347" s="44">
        <v>11805.249788314986</v>
      </c>
      <c r="J347" s="44">
        <v>12467.026644241834</v>
      </c>
      <c r="K347" s="44">
        <v>12950.582708465083</v>
      </c>
      <c r="L347" s="44">
        <v>16076.61108607481</v>
      </c>
      <c r="M347" s="44">
        <v>14439.593526533685</v>
      </c>
      <c r="N347" s="39"/>
    </row>
    <row r="348" spans="2:14" ht="15" thickBot="1">
      <c r="B348" s="95" t="s">
        <v>38</v>
      </c>
      <c r="C348" s="1303">
        <v>153</v>
      </c>
      <c r="D348" s="1454">
        <v>453</v>
      </c>
      <c r="E348" s="44">
        <v>2141.5004748338083</v>
      </c>
      <c r="F348" s="44">
        <v>1179.5045235478142</v>
      </c>
      <c r="G348" s="44">
        <v>253.02048677989842</v>
      </c>
      <c r="H348" s="44">
        <v>1069.2273336310855</v>
      </c>
      <c r="I348" s="44">
        <v>525.82557154953429</v>
      </c>
      <c r="J348" s="44">
        <v>139.86013986013987</v>
      </c>
      <c r="K348" s="44">
        <v>174.36082753636282</v>
      </c>
      <c r="L348" s="44">
        <v>84.722848129788204</v>
      </c>
      <c r="M348" s="44">
        <v>85.811065111027474</v>
      </c>
      <c r="N348" s="39"/>
    </row>
    <row r="349" spans="2:14" ht="15" thickBot="1">
      <c r="B349" s="95" t="s">
        <v>30</v>
      </c>
      <c r="C349" s="1142">
        <v>443</v>
      </c>
      <c r="D349" s="1269">
        <v>659</v>
      </c>
      <c r="E349" s="44">
        <v>769.23076923076928</v>
      </c>
      <c r="F349" s="44">
        <v>472.64733237507397</v>
      </c>
      <c r="G349" s="44">
        <v>428.99667308702499</v>
      </c>
      <c r="H349" s="44">
        <v>641.35774899508715</v>
      </c>
      <c r="I349" s="44">
        <v>914.47925486875522</v>
      </c>
      <c r="J349" s="44">
        <v>725.85642205895374</v>
      </c>
      <c r="K349" s="44">
        <v>617.03857620381245</v>
      </c>
      <c r="L349" s="44">
        <v>579.54033348355119</v>
      </c>
      <c r="M349" s="44">
        <v>527.66277756868647</v>
      </c>
      <c r="N349" s="39"/>
    </row>
    <row r="350" spans="2:14">
      <c r="B350" s="117" t="s">
        <v>129</v>
      </c>
      <c r="C350" s="1299">
        <f>C351-SUM(C347:C349)</f>
        <v>750</v>
      </c>
      <c r="D350" s="1449">
        <f>D351-SUM(D347:D349)</f>
        <v>592</v>
      </c>
      <c r="E350" s="109">
        <f>E351-E349-E348-E347</f>
        <v>2043.6847103513774</v>
      </c>
      <c r="F350" s="109">
        <f>F351-F349-F348-F347</f>
        <v>1504.1853386319472</v>
      </c>
      <c r="G350" s="109">
        <v>1174.0500787953069</v>
      </c>
      <c r="H350" s="109">
        <v>1944.618133095132</v>
      </c>
      <c r="I350" s="109">
        <v>1868.7552921253175</v>
      </c>
      <c r="J350" s="109">
        <v>3641.6747809152862</v>
      </c>
      <c r="K350" s="109">
        <v>3340.8618664739361</v>
      </c>
      <c r="L350" s="109">
        <v>3223.9747634069408</v>
      </c>
      <c r="M350" s="109">
        <v>1771.17049303726</v>
      </c>
      <c r="N350" s="39"/>
    </row>
    <row r="351" spans="2:14">
      <c r="B351" s="85" t="s">
        <v>3</v>
      </c>
      <c r="C351" s="1302">
        <v>16262</v>
      </c>
      <c r="D351" s="1302">
        <v>15959</v>
      </c>
      <c r="E351" s="73">
        <v>20420.702754036087</v>
      </c>
      <c r="F351" s="73">
        <v>17367.887038133085</v>
      </c>
      <c r="G351" s="73">
        <v>12285.063911749256</v>
      </c>
      <c r="H351" s="73">
        <v>15623.939258597589</v>
      </c>
      <c r="I351" s="73">
        <v>15114.309906858594</v>
      </c>
      <c r="J351" s="73">
        <v>16974.417987076216</v>
      </c>
      <c r="K351" s="73">
        <v>17084.65082663294</v>
      </c>
      <c r="L351" s="73">
        <v>19964.849031095087</v>
      </c>
      <c r="M351" s="73">
        <v>16824.237862250659</v>
      </c>
      <c r="N351" s="126"/>
    </row>
    <row r="352" spans="2:14">
      <c r="B352" s="950" t="s">
        <v>2413</v>
      </c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</row>
    <row r="353" spans="2:14">
      <c r="C353" s="23"/>
      <c r="D353" s="23"/>
      <c r="E353" s="23"/>
      <c r="F353" s="23"/>
      <c r="G353" s="23"/>
      <c r="H353" s="23"/>
      <c r="I353" s="23"/>
    </row>
    <row r="355" spans="2:14" ht="15.6">
      <c r="B355" s="295" t="s">
        <v>1568</v>
      </c>
      <c r="C355" s="295"/>
      <c r="D355" s="295"/>
      <c r="E355" s="295"/>
      <c r="F355" s="295"/>
      <c r="G355" s="295"/>
      <c r="H355" s="295"/>
      <c r="I355" s="295"/>
      <c r="J355" s="295"/>
      <c r="K355" s="295"/>
    </row>
    <row r="356" spans="2:14" ht="15.6">
      <c r="B356" s="296" t="s">
        <v>1569</v>
      </c>
      <c r="C356" s="295"/>
      <c r="D356" s="295"/>
      <c r="E356" s="295"/>
      <c r="F356" s="295"/>
      <c r="G356" s="295"/>
      <c r="H356" s="295"/>
      <c r="I356" s="295"/>
      <c r="J356" s="295"/>
      <c r="K356" s="295"/>
    </row>
    <row r="357" spans="2:14">
      <c r="B357" s="297"/>
      <c r="C357" s="228">
        <v>2024</v>
      </c>
      <c r="D357" s="228">
        <v>2023</v>
      </c>
      <c r="E357" s="298">
        <v>2022</v>
      </c>
      <c r="F357" s="298">
        <v>2021</v>
      </c>
      <c r="G357" s="298">
        <v>2020</v>
      </c>
      <c r="H357" s="298">
        <v>2019</v>
      </c>
      <c r="I357" s="298">
        <v>2018</v>
      </c>
      <c r="J357" s="298">
        <v>2017</v>
      </c>
      <c r="K357" s="298">
        <v>2016</v>
      </c>
      <c r="L357" s="298">
        <v>2015</v>
      </c>
      <c r="M357" s="298">
        <v>2014</v>
      </c>
      <c r="N357" s="56"/>
    </row>
    <row r="358" spans="2:14" ht="15" thickBot="1">
      <c r="B358" s="36" t="s">
        <v>1555</v>
      </c>
      <c r="C358" s="1142">
        <v>5501</v>
      </c>
      <c r="D358" s="1269">
        <v>6462</v>
      </c>
      <c r="E358" s="44">
        <v>7362.773029439697</v>
      </c>
      <c r="F358" s="44">
        <v>5076.5198275133171</v>
      </c>
      <c r="G358" s="44">
        <v>3919.6287865522672</v>
      </c>
      <c r="H358" s="44">
        <v>3897.2755694506477</v>
      </c>
      <c r="I358" s="44">
        <v>4255.7154953429299</v>
      </c>
      <c r="J358" s="44">
        <v>8995.3084889793754</v>
      </c>
      <c r="K358" s="44">
        <v>8407.2635287740541</v>
      </c>
      <c r="L358" s="44">
        <v>6603.875619648491</v>
      </c>
      <c r="M358" s="44">
        <v>9171.9984945427168</v>
      </c>
      <c r="N358" s="39"/>
    </row>
    <row r="359" spans="2:14" ht="15" thickBot="1">
      <c r="B359" s="36" t="s">
        <v>698</v>
      </c>
      <c r="C359" s="1142">
        <v>5988</v>
      </c>
      <c r="D359" s="1269">
        <v>5985</v>
      </c>
      <c r="E359" s="44">
        <v>5530.8641975308647</v>
      </c>
      <c r="F359" s="44">
        <v>4666.4411938784133</v>
      </c>
      <c r="G359" s="44">
        <v>3205.2180003502012</v>
      </c>
      <c r="H359" s="44">
        <v>2999.5533720410899</v>
      </c>
      <c r="I359" s="44">
        <v>4233.7002540220146</v>
      </c>
      <c r="J359" s="44">
        <v>7383.3761175533336</v>
      </c>
      <c r="K359" s="44">
        <v>5302.1953202637997</v>
      </c>
      <c r="L359" s="44">
        <v>2865.2546191978372</v>
      </c>
      <c r="M359" s="44">
        <v>3142.6420775310498</v>
      </c>
      <c r="N359" s="39"/>
    </row>
    <row r="360" spans="2:14" ht="15" thickBot="1">
      <c r="B360" s="299" t="s">
        <v>1556</v>
      </c>
      <c r="C360" s="1301">
        <v>11489</v>
      </c>
      <c r="D360" s="1268">
        <f>SUM(D358,D359)</f>
        <v>12447</v>
      </c>
      <c r="E360" s="43">
        <f>E359+E358</f>
        <v>12893.637226970561</v>
      </c>
      <c r="F360" s="43">
        <v>9742.9610213917294</v>
      </c>
      <c r="G360" s="43">
        <v>7124.846786902468</v>
      </c>
      <c r="H360" s="43">
        <v>6896.8289414917381</v>
      </c>
      <c r="I360" s="43">
        <v>8489.4157493649454</v>
      </c>
      <c r="J360" s="43">
        <v>16378.684606532708</v>
      </c>
      <c r="K360" s="43">
        <v>13709.458849037854</v>
      </c>
      <c r="L360" s="43">
        <v>9469.1302388463282</v>
      </c>
      <c r="M360" s="43">
        <v>12313.887843432443</v>
      </c>
      <c r="N360" s="126"/>
    </row>
    <row r="361" spans="2:14" ht="15" thickBot="1">
      <c r="B361" s="36" t="s">
        <v>1557</v>
      </c>
      <c r="C361" s="1142">
        <v>11285</v>
      </c>
      <c r="D361" s="1269">
        <v>11807</v>
      </c>
      <c r="E361" s="44">
        <v>13257.359924026592</v>
      </c>
      <c r="F361" s="44">
        <v>11771.370592711592</v>
      </c>
      <c r="G361" s="44">
        <v>11387.672911924356</v>
      </c>
      <c r="H361" s="44">
        <v>11292.5413130862</v>
      </c>
      <c r="I361" s="44">
        <v>11771.380186282811</v>
      </c>
      <c r="J361" s="44">
        <v>12332.477648933345</v>
      </c>
      <c r="K361" s="44">
        <v>9834.6734122323614</v>
      </c>
      <c r="L361" s="44">
        <v>11509.689049121227</v>
      </c>
      <c r="M361" s="44">
        <v>8630.0338727888593</v>
      </c>
      <c r="N361" s="39"/>
    </row>
    <row r="362" spans="2:14" ht="15" thickBot="1">
      <c r="B362" s="36" t="s">
        <v>1558</v>
      </c>
      <c r="C362" s="1142">
        <v>100597</v>
      </c>
      <c r="D362" s="1269">
        <v>97069</v>
      </c>
      <c r="E362" s="44">
        <v>98785.375118708456</v>
      </c>
      <c r="F362" s="44">
        <v>89609.368394351899</v>
      </c>
      <c r="G362" s="44">
        <v>91104.885309052697</v>
      </c>
      <c r="H362" s="44">
        <v>91255.917820455565</v>
      </c>
      <c r="I362" s="44">
        <v>79430.990685859433</v>
      </c>
      <c r="J362" s="44">
        <v>68550.05753739932</v>
      </c>
      <c r="K362" s="44">
        <v>55855.994218086547</v>
      </c>
      <c r="L362" s="44">
        <v>50155.926092834612</v>
      </c>
      <c r="M362" s="44">
        <v>45140.383891607074</v>
      </c>
      <c r="N362" s="39"/>
    </row>
    <row r="363" spans="2:14" ht="15" thickBot="1">
      <c r="B363" s="36" t="s">
        <v>702</v>
      </c>
      <c r="C363" s="1142">
        <v>3014</v>
      </c>
      <c r="D363" s="1269">
        <v>3004</v>
      </c>
      <c r="E363" s="44">
        <v>3415.0047483380818</v>
      </c>
      <c r="F363" s="44">
        <v>2996.5333558806119</v>
      </c>
      <c r="G363" s="44">
        <v>2640.5182980213622</v>
      </c>
      <c r="H363" s="44">
        <v>2755.6945064761057</v>
      </c>
      <c r="I363" s="44">
        <v>2613.0397967823878</v>
      </c>
      <c r="J363" s="44">
        <v>3346.9062582986635</v>
      </c>
      <c r="K363" s="44">
        <v>3197.2174541512331</v>
      </c>
      <c r="L363" s="44">
        <v>3559.260928346102</v>
      </c>
      <c r="M363" s="44">
        <v>3187.0530673692133</v>
      </c>
      <c r="N363" s="39"/>
    </row>
    <row r="364" spans="2:14" ht="15" thickBot="1">
      <c r="B364" s="36" t="s">
        <v>703</v>
      </c>
      <c r="C364" s="1142">
        <v>7864</v>
      </c>
      <c r="D364" s="1269">
        <v>5454</v>
      </c>
      <c r="E364" s="44">
        <v>4213.6752136752139</v>
      </c>
      <c r="F364" s="44">
        <v>3357.5716580705162</v>
      </c>
      <c r="G364" s="44">
        <v>2876.0287165119939</v>
      </c>
      <c r="H364" s="44">
        <v>2766.413577489951</v>
      </c>
      <c r="I364" s="44">
        <v>2530.0592718035564</v>
      </c>
      <c r="J364" s="44">
        <v>2667.0797556873508</v>
      </c>
      <c r="K364" s="44">
        <v>2458.2166410696541</v>
      </c>
      <c r="L364" s="44">
        <v>2702.1180712032447</v>
      </c>
      <c r="M364" s="44">
        <v>1779.4505080918329</v>
      </c>
      <c r="N364" s="39"/>
    </row>
    <row r="365" spans="2:14" ht="15" thickBot="1">
      <c r="B365" s="36" t="s">
        <v>1570</v>
      </c>
      <c r="C365" s="1142">
        <v>233471</v>
      </c>
      <c r="D365" s="1269">
        <v>233823</v>
      </c>
      <c r="E365" s="44">
        <v>230538.46153846156</v>
      </c>
      <c r="F365" s="44">
        <v>200403.31444998732</v>
      </c>
      <c r="G365" s="44">
        <v>157343.72264051827</v>
      </c>
      <c r="H365" s="44">
        <v>167896.38231353284</v>
      </c>
      <c r="I365" s="44">
        <v>158943.26841659611</v>
      </c>
      <c r="J365" s="44">
        <v>157838.36416747811</v>
      </c>
      <c r="K365" s="44">
        <v>154300.29812991238</v>
      </c>
      <c r="L365" s="44">
        <v>156507.43578188375</v>
      </c>
      <c r="M365" s="44">
        <v>130500.56454648099</v>
      </c>
      <c r="N365" s="39"/>
    </row>
    <row r="366" spans="2:14" ht="15" thickBot="1">
      <c r="B366" s="118" t="s">
        <v>1560</v>
      </c>
      <c r="C366" s="1301">
        <v>356230</v>
      </c>
      <c r="D366" s="1268">
        <f>SUM(D361:D365)</f>
        <v>351157</v>
      </c>
      <c r="E366" s="43">
        <f>E365+E364+E363+E362+E361</f>
        <v>350209.87654320989</v>
      </c>
      <c r="F366" s="43">
        <v>308103.49200980802</v>
      </c>
      <c r="G366" s="43">
        <v>265352.82787602872</v>
      </c>
      <c r="H366" s="43">
        <v>275966.94953104068</v>
      </c>
      <c r="I366" s="43">
        <v>255289.58509737509</v>
      </c>
      <c r="J366" s="43">
        <v>244734.88536779679</v>
      </c>
      <c r="K366" s="43">
        <v>225646.39985545215</v>
      </c>
      <c r="L366" s="43">
        <v>224434.42992338893</v>
      </c>
      <c r="M366" s="43">
        <v>189237.48588633796</v>
      </c>
      <c r="N366" s="126"/>
    </row>
    <row r="367" spans="2:14" ht="15" thickBot="1">
      <c r="B367" s="305" t="s">
        <v>113</v>
      </c>
      <c r="C367" s="1142">
        <v>4675</v>
      </c>
      <c r="D367" s="1269">
        <v>4371</v>
      </c>
      <c r="E367" s="44">
        <v>4609.6866096866097</v>
      </c>
      <c r="F367" s="44">
        <v>3802.3167328992981</v>
      </c>
      <c r="G367" s="44">
        <v>2794.6068989669056</v>
      </c>
      <c r="H367" s="44">
        <v>3290.7548012505586</v>
      </c>
      <c r="I367" s="44">
        <v>2940.7281964436916</v>
      </c>
      <c r="J367" s="44">
        <v>3058.3340709922991</v>
      </c>
      <c r="K367" s="44">
        <v>3386.0330653175533</v>
      </c>
      <c r="L367" s="44">
        <v>4147.8143307796308</v>
      </c>
      <c r="M367" s="44">
        <v>3589.7628904779826</v>
      </c>
      <c r="N367" s="39"/>
    </row>
    <row r="368" spans="2:14" ht="15" thickBot="1">
      <c r="B368" s="36" t="s">
        <v>117</v>
      </c>
      <c r="C368" s="1142">
        <v>929</v>
      </c>
      <c r="D368" s="1269">
        <v>892</v>
      </c>
      <c r="E368" s="44">
        <v>891.7378917378918</v>
      </c>
      <c r="F368" s="44">
        <v>994.33499619514657</v>
      </c>
      <c r="G368" s="44">
        <v>803.71213447732441</v>
      </c>
      <c r="H368" s="44">
        <v>687.80705672175077</v>
      </c>
      <c r="I368" s="44">
        <v>666.38441998306519</v>
      </c>
      <c r="J368" s="44">
        <v>822.34221474727804</v>
      </c>
      <c r="K368" s="44">
        <v>1026.2896377269853</v>
      </c>
      <c r="L368" s="44">
        <v>1160.883280757098</v>
      </c>
      <c r="M368" s="44">
        <v>1021.4527662777568</v>
      </c>
      <c r="N368" s="39"/>
    </row>
    <row r="369" spans="2:18" ht="15" thickBot="1">
      <c r="B369" s="36" t="s">
        <v>120</v>
      </c>
      <c r="C369" s="1142">
        <v>53</v>
      </c>
      <c r="D369" s="1269">
        <v>38</v>
      </c>
      <c r="E369" s="44">
        <v>37.037037037037038</v>
      </c>
      <c r="F369" s="44">
        <v>82.861249682928886</v>
      </c>
      <c r="G369" s="44">
        <v>7.8795307301698472</v>
      </c>
      <c r="H369" s="44">
        <v>83.07280035730237</v>
      </c>
      <c r="I369" s="44">
        <v>120.23708721422523</v>
      </c>
      <c r="J369" s="44">
        <v>98.256174205541299</v>
      </c>
      <c r="K369" s="44">
        <v>65.046526334808931</v>
      </c>
      <c r="L369" s="44">
        <v>243.35286164939163</v>
      </c>
      <c r="M369" s="44">
        <v>351.5242754986827</v>
      </c>
      <c r="N369" s="39"/>
    </row>
    <row r="370" spans="2:18" ht="15" thickBot="1">
      <c r="B370" s="36" t="s">
        <v>115</v>
      </c>
      <c r="C370" s="1142">
        <v>681</v>
      </c>
      <c r="D370" s="1269">
        <v>681</v>
      </c>
      <c r="E370" s="44">
        <v>839.50617283950623</v>
      </c>
      <c r="F370" s="44">
        <v>1014.6275471379047</v>
      </c>
      <c r="G370" s="44">
        <v>674.13762913675362</v>
      </c>
      <c r="H370" s="44">
        <v>690.48682447521219</v>
      </c>
      <c r="I370" s="44">
        <v>939.0347163420829</v>
      </c>
      <c r="J370" s="44">
        <v>868.37213419491911</v>
      </c>
      <c r="K370" s="44">
        <v>982.02186286024028</v>
      </c>
      <c r="L370" s="44">
        <v>1159.9819738621002</v>
      </c>
      <c r="M370" s="44">
        <v>955.21264584117421</v>
      </c>
      <c r="N370" s="39"/>
    </row>
    <row r="371" spans="2:18" ht="15" thickBot="1">
      <c r="B371" s="36" t="s">
        <v>114</v>
      </c>
      <c r="C371" s="1142">
        <v>177</v>
      </c>
      <c r="D371" s="1269">
        <v>201</v>
      </c>
      <c r="E371" s="44">
        <v>351.37701804368476</v>
      </c>
      <c r="F371" s="44">
        <v>426.98909275386825</v>
      </c>
      <c r="G371" s="44">
        <v>205.74330239887934</v>
      </c>
      <c r="H371" s="44">
        <v>603.84100044662796</v>
      </c>
      <c r="I371" s="44">
        <v>377.64606265876375</v>
      </c>
      <c r="J371" s="44">
        <v>339.91325130565639</v>
      </c>
      <c r="K371" s="44">
        <v>646.85156744059987</v>
      </c>
      <c r="L371" s="44">
        <v>670.57232987832356</v>
      </c>
      <c r="M371" s="44">
        <v>818.21603312006016</v>
      </c>
      <c r="N371" s="39"/>
    </row>
    <row r="372" spans="2:18" ht="15" thickBot="1">
      <c r="B372" s="36" t="s">
        <v>689</v>
      </c>
      <c r="C372" s="1142">
        <v>8468</v>
      </c>
      <c r="D372" s="1269">
        <v>8656</v>
      </c>
      <c r="E372" s="44">
        <v>11214.624881291549</v>
      </c>
      <c r="F372" s="44">
        <v>9223.8099264395023</v>
      </c>
      <c r="G372" s="44">
        <v>6522.5004377517071</v>
      </c>
      <c r="H372" s="44">
        <v>7797.2309066547568</v>
      </c>
      <c r="I372" s="44">
        <v>7623.2006773920402</v>
      </c>
      <c r="J372" s="44">
        <v>7640.9666283084007</v>
      </c>
      <c r="K372" s="44">
        <v>7315.0239407353874</v>
      </c>
      <c r="L372" s="44">
        <v>8958.9905362776026</v>
      </c>
      <c r="M372" s="44">
        <v>7784.7196085811065</v>
      </c>
      <c r="N372" s="39"/>
    </row>
    <row r="373" spans="2:18" ht="15" thickBot="1">
      <c r="B373" s="36" t="s">
        <v>690</v>
      </c>
      <c r="C373" s="1142">
        <v>1279</v>
      </c>
      <c r="D373" s="1269">
        <v>1120</v>
      </c>
      <c r="E373" s="44">
        <v>2476.7331433998102</v>
      </c>
      <c r="F373" s="44">
        <v>1822.9474930244355</v>
      </c>
      <c r="G373" s="44">
        <v>1276.4839782875151</v>
      </c>
      <c r="H373" s="44">
        <v>2469.8526127735599</v>
      </c>
      <c r="I373" s="44">
        <v>2447.9254868755293</v>
      </c>
      <c r="J373" s="44">
        <v>4146.2335133221213</v>
      </c>
      <c r="K373" s="44">
        <v>3663.3842262173639</v>
      </c>
      <c r="L373" s="44">
        <v>3623.253717890942</v>
      </c>
      <c r="M373" s="44">
        <v>2304.10237109522</v>
      </c>
      <c r="N373" s="39"/>
    </row>
    <row r="374" spans="2:18" ht="15" thickBot="1">
      <c r="B374" s="274" t="s">
        <v>393</v>
      </c>
      <c r="C374" s="1304">
        <v>16263</v>
      </c>
      <c r="D374" s="1456">
        <f>SUM(D367:D373)</f>
        <v>15959</v>
      </c>
      <c r="E374" s="101">
        <f>E373+E372+E371+E369+E370+E368+E367</f>
        <v>20420.702754036087</v>
      </c>
      <c r="F374" s="101">
        <v>17392.407203855582</v>
      </c>
      <c r="G374" s="101">
        <v>12285.063911749256</v>
      </c>
      <c r="H374" s="101">
        <v>15623.939258597589</v>
      </c>
      <c r="I374" s="101">
        <v>15114.309906858594</v>
      </c>
      <c r="J374" s="101">
        <v>16974.417987076216</v>
      </c>
      <c r="K374" s="101">
        <v>17084.65082663294</v>
      </c>
      <c r="L374" s="101">
        <v>19964.849031095087</v>
      </c>
      <c r="M374" s="101">
        <v>16824.237862250659</v>
      </c>
      <c r="N374" s="126"/>
    </row>
    <row r="375" spans="2:18" ht="21" thickBot="1">
      <c r="B375" s="36" t="s">
        <v>705</v>
      </c>
      <c r="C375" s="1142">
        <v>72846</v>
      </c>
      <c r="D375" s="1269">
        <v>79588</v>
      </c>
      <c r="E375" s="44">
        <v>92148.148148148161</v>
      </c>
      <c r="F375" s="44">
        <v>71904.117696795467</v>
      </c>
      <c r="G375" s="44">
        <v>54484.328488881103</v>
      </c>
      <c r="H375" s="44">
        <v>79974.988834301024</v>
      </c>
      <c r="I375" s="44">
        <v>80386.960203217604</v>
      </c>
      <c r="J375" s="44">
        <v>85802.4254226786</v>
      </c>
      <c r="K375" s="44">
        <v>66177.613153853104</v>
      </c>
      <c r="L375" s="44">
        <v>53964.849031095095</v>
      </c>
      <c r="M375" s="44">
        <v>45802.03236733158</v>
      </c>
      <c r="N375" s="39"/>
    </row>
    <row r="376" spans="2:18" ht="21" thickBot="1">
      <c r="B376" s="36" t="s">
        <v>706</v>
      </c>
      <c r="C376" s="1142">
        <v>11948</v>
      </c>
      <c r="D376" s="1269">
        <v>11583</v>
      </c>
      <c r="E376" s="44">
        <v>14264.007597340931</v>
      </c>
      <c r="F376" s="44">
        <v>13788.788365604125</v>
      </c>
      <c r="G376" s="44">
        <v>22532.831378042374</v>
      </c>
      <c r="H376" s="44">
        <v>14877.177311299689</v>
      </c>
      <c r="I376" s="44">
        <v>13238.780694326841</v>
      </c>
      <c r="J376" s="44">
        <v>13569.974329468001</v>
      </c>
      <c r="K376" s="44">
        <v>47088.264522540427</v>
      </c>
      <c r="L376" s="44">
        <v>42883.280757097797</v>
      </c>
      <c r="M376" s="44">
        <v>33522.770041400072</v>
      </c>
      <c r="N376" s="39"/>
    </row>
    <row r="377" spans="2:18">
      <c r="B377" s="852" t="s">
        <v>1561</v>
      </c>
      <c r="C377" s="1305">
        <v>84794</v>
      </c>
      <c r="D377" s="1457">
        <f>SUM(D375:D376)</f>
        <v>91171</v>
      </c>
      <c r="E377" s="304">
        <f>E376+E375</f>
        <v>106412.15574548909</v>
      </c>
      <c r="F377" s="304">
        <v>85692.90606239959</v>
      </c>
      <c r="G377" s="304">
        <v>77017.159866923481</v>
      </c>
      <c r="H377" s="304">
        <v>94851.272889682892</v>
      </c>
      <c r="I377" s="304">
        <v>93625.740897544456</v>
      </c>
      <c r="J377" s="304">
        <v>99371.514561387987</v>
      </c>
      <c r="K377" s="304">
        <v>113264.97425241666</v>
      </c>
      <c r="L377" s="304">
        <v>96849.031095087877</v>
      </c>
      <c r="M377" s="304">
        <v>79324.802408731644</v>
      </c>
      <c r="N377" s="126"/>
    </row>
    <row r="378" spans="2:18">
      <c r="B378" s="306" t="s">
        <v>52</v>
      </c>
      <c r="C378" s="1302">
        <f>SUM(C360,C366,C374,C377)</f>
        <v>468776</v>
      </c>
      <c r="D378" s="1302">
        <f>SUM(D360,D366,D374,D377)</f>
        <v>470734</v>
      </c>
      <c r="E378" s="307">
        <v>489936.37226970564</v>
      </c>
      <c r="F378" s="307">
        <v>420942.75809588225</v>
      </c>
      <c r="G378" s="307">
        <v>361779.89844160387</v>
      </c>
      <c r="H378" s="307">
        <v>393338.99062081287</v>
      </c>
      <c r="I378" s="307">
        <v>372519.05165114306</v>
      </c>
      <c r="J378" s="307">
        <v>377459.50252279371</v>
      </c>
      <c r="K378" s="307">
        <v>369705.48378353962</v>
      </c>
      <c r="L378" s="307">
        <v>350717.44028841821</v>
      </c>
      <c r="M378" s="307">
        <v>297701.16672939406</v>
      </c>
      <c r="N378" s="126"/>
    </row>
    <row r="379" spans="2:18">
      <c r="B379" s="950" t="s">
        <v>2413</v>
      </c>
    </row>
    <row r="382" spans="2:18">
      <c r="B382" s="5" t="s">
        <v>1571</v>
      </c>
    </row>
    <row r="384" spans="2:18">
      <c r="C384" t="s">
        <v>751</v>
      </c>
      <c r="D384">
        <v>2009</v>
      </c>
      <c r="E384">
        <v>2010</v>
      </c>
      <c r="F384">
        <v>2011</v>
      </c>
      <c r="G384">
        <v>2012</v>
      </c>
      <c r="H384">
        <v>2013</v>
      </c>
      <c r="I384">
        <v>2014</v>
      </c>
      <c r="J384">
        <v>2015</v>
      </c>
      <c r="K384">
        <v>2016</v>
      </c>
      <c r="L384">
        <v>2017</v>
      </c>
      <c r="M384">
        <v>2018</v>
      </c>
      <c r="N384">
        <v>2019</v>
      </c>
      <c r="O384">
        <v>2020</v>
      </c>
      <c r="P384">
        <v>2021</v>
      </c>
      <c r="Q384">
        <v>2022</v>
      </c>
      <c r="R384" s="1124">
        <v>2023</v>
      </c>
    </row>
    <row r="385" spans="3:18">
      <c r="C385" t="s">
        <v>1572</v>
      </c>
      <c r="D385" s="70">
        <v>4</v>
      </c>
      <c r="E385">
        <v>4.1500000000000004</v>
      </c>
      <c r="F385">
        <v>4.08</v>
      </c>
      <c r="G385">
        <v>4.3600000000000003</v>
      </c>
      <c r="H385">
        <v>4.25</v>
      </c>
      <c r="I385" s="70">
        <v>4.2</v>
      </c>
      <c r="J385">
        <v>4.37</v>
      </c>
      <c r="M385">
        <v>4.63</v>
      </c>
      <c r="N385">
        <v>4.42</v>
      </c>
      <c r="O385">
        <v>4.8</v>
      </c>
      <c r="P385">
        <v>6.43</v>
      </c>
      <c r="Q385">
        <v>6.69</v>
      </c>
      <c r="R385" s="1124">
        <v>6.69</v>
      </c>
    </row>
    <row r="387" spans="3:18" ht="17.399999999999999">
      <c r="C387" s="1307" t="s">
        <v>1950</v>
      </c>
    </row>
    <row r="388" spans="3:18">
      <c r="C388" s="511" t="s">
        <v>1573</v>
      </c>
    </row>
    <row r="390" spans="3:18">
      <c r="C390" s="5" t="s">
        <v>1574</v>
      </c>
    </row>
    <row r="406" spans="2:11">
      <c r="C406" s="82"/>
    </row>
    <row r="407" spans="2:11">
      <c r="C407" s="195" t="s">
        <v>1952</v>
      </c>
    </row>
    <row r="408" spans="2:11">
      <c r="C408" s="9" t="s">
        <v>1864</v>
      </c>
    </row>
    <row r="409" spans="2:11">
      <c r="C409" s="195"/>
    </row>
    <row r="410" spans="2:11">
      <c r="B410" s="5" t="s">
        <v>1575</v>
      </c>
      <c r="C410" s="195"/>
      <c r="F410" t="s">
        <v>1470</v>
      </c>
    </row>
    <row r="411" spans="2:11">
      <c r="F411" s="1124">
        <v>2023</v>
      </c>
      <c r="G411">
        <v>2022</v>
      </c>
      <c r="H411">
        <v>2021</v>
      </c>
      <c r="I411">
        <v>2020</v>
      </c>
      <c r="J411">
        <v>2019</v>
      </c>
      <c r="K411" s="1306"/>
    </row>
    <row r="412" spans="2:11" ht="15.6">
      <c r="C412" s="853" t="s">
        <v>1576</v>
      </c>
      <c r="D412" s="19"/>
      <c r="F412" s="1124">
        <v>2476</v>
      </c>
      <c r="G412">
        <v>2467</v>
      </c>
      <c r="H412" s="854">
        <v>2378.8000000000002</v>
      </c>
      <c r="I412" s="854">
        <v>1584</v>
      </c>
      <c r="J412" s="854">
        <v>1407</v>
      </c>
      <c r="K412" s="19"/>
    </row>
    <row r="413" spans="2:11" ht="15.6">
      <c r="C413" s="853" t="s">
        <v>1252</v>
      </c>
      <c r="D413" s="19"/>
      <c r="F413" s="1124">
        <v>1002</v>
      </c>
      <c r="G413">
        <v>1113</v>
      </c>
      <c r="H413" s="854">
        <v>1031.0999999999999</v>
      </c>
      <c r="I413" s="854">
        <v>850</v>
      </c>
      <c r="J413" s="854">
        <v>954</v>
      </c>
      <c r="K413" s="19"/>
    </row>
    <row r="414" spans="2:11" ht="15.6">
      <c r="C414" s="853" t="s">
        <v>1577</v>
      </c>
      <c r="D414" s="19"/>
      <c r="F414" s="1124">
        <v>919</v>
      </c>
      <c r="G414">
        <v>826</v>
      </c>
      <c r="H414" s="854">
        <v>762.1</v>
      </c>
      <c r="I414" s="854">
        <v>756</v>
      </c>
      <c r="J414" s="854">
        <v>616</v>
      </c>
      <c r="K414" s="19"/>
    </row>
    <row r="415" spans="2:11" ht="15.6">
      <c r="C415" s="853" t="s">
        <v>1578</v>
      </c>
      <c r="D415" s="19"/>
      <c r="F415" s="1124">
        <v>1038</v>
      </c>
      <c r="G415">
        <v>1093</v>
      </c>
      <c r="H415" s="854">
        <v>1034.4000000000001</v>
      </c>
      <c r="I415" s="854">
        <v>691</v>
      </c>
      <c r="J415" s="854">
        <v>600</v>
      </c>
      <c r="K415" s="19"/>
    </row>
    <row r="416" spans="2:11" ht="15.6">
      <c r="C416" s="853" t="s">
        <v>1579</v>
      </c>
      <c r="D416" s="19"/>
      <c r="F416" s="1124">
        <v>514</v>
      </c>
      <c r="G416">
        <v>514</v>
      </c>
      <c r="H416" s="854">
        <v>507.3</v>
      </c>
      <c r="I416" s="854">
        <v>381</v>
      </c>
      <c r="J416" s="854">
        <v>326</v>
      </c>
      <c r="K416" s="19"/>
    </row>
    <row r="417" spans="3:15" ht="15.6">
      <c r="C417" s="853" t="s">
        <v>53</v>
      </c>
      <c r="D417" s="19"/>
      <c r="F417" s="1124">
        <v>350</v>
      </c>
      <c r="G417">
        <v>333</v>
      </c>
      <c r="H417" s="854">
        <v>359.8</v>
      </c>
      <c r="I417" s="854">
        <v>295</v>
      </c>
      <c r="J417" s="854">
        <v>315</v>
      </c>
      <c r="K417" s="19"/>
    </row>
    <row r="418" spans="3:15" ht="15.6">
      <c r="C418" s="853" t="s">
        <v>1580</v>
      </c>
      <c r="D418" s="19"/>
      <c r="F418" s="1124">
        <v>98</v>
      </c>
      <c r="G418">
        <v>101</v>
      </c>
      <c r="H418" s="854">
        <v>105.4</v>
      </c>
      <c r="I418" s="854">
        <v>89</v>
      </c>
      <c r="J418" s="854">
        <v>89</v>
      </c>
      <c r="K418" s="19"/>
      <c r="L418" s="19">
        <v>2023</v>
      </c>
      <c r="M418" s="854">
        <v>2022</v>
      </c>
      <c r="N418" s="854">
        <v>2021</v>
      </c>
      <c r="O418" s="854">
        <v>2020</v>
      </c>
    </row>
    <row r="419" spans="3:15" ht="15.6">
      <c r="C419" s="853" t="s">
        <v>1653</v>
      </c>
      <c r="F419" s="1124">
        <f>SUM(F412:F418)</f>
        <v>6397</v>
      </c>
      <c r="G419" s="134">
        <f>SUM(G412:G418)</f>
        <v>6447</v>
      </c>
      <c r="H419" s="134">
        <f>SUM(H412:H418)</f>
        <v>6178.9</v>
      </c>
      <c r="I419" s="134">
        <f>SUM(I412:I418)</f>
        <v>4646</v>
      </c>
      <c r="J419" s="134">
        <f>SUM(J412:J418)</f>
        <v>4307</v>
      </c>
      <c r="K419" s="949" t="s">
        <v>1654</v>
      </c>
      <c r="L419" s="949">
        <v>-4</v>
      </c>
      <c r="M419" s="134">
        <f>((100/H419)*G419)-100</f>
        <v>4.3389600090631006</v>
      </c>
      <c r="N419" s="134">
        <f>((100/I419)*H419)-100</f>
        <v>32.993973310374514</v>
      </c>
      <c r="O419" s="134">
        <f>((100/J419)*I419)-100</f>
        <v>7.8709078244717858</v>
      </c>
    </row>
    <row r="420" spans="3:15">
      <c r="G420" s="854">
        <v>2527</v>
      </c>
      <c r="H420" s="854">
        <v>2604</v>
      </c>
      <c r="I420" s="854">
        <v>2672</v>
      </c>
      <c r="J420" s="19"/>
      <c r="M420" s="134">
        <f>((100/H420)*G420)-100</f>
        <v>-2.9569892473118244</v>
      </c>
      <c r="N420" s="134">
        <f>((100/I420)*H420)-100</f>
        <v>-2.5449101796407234</v>
      </c>
    </row>
    <row r="421" spans="3:15">
      <c r="C421" t="s">
        <v>596</v>
      </c>
    </row>
    <row r="423" spans="3:15" ht="17.399999999999999">
      <c r="C423" s="1307" t="s">
        <v>1951</v>
      </c>
    </row>
    <row r="424" spans="3:15">
      <c r="C424" s="511" t="s">
        <v>1581</v>
      </c>
    </row>
    <row r="444" spans="3:9">
      <c r="I444" s="10"/>
    </row>
    <row r="445" spans="3:9">
      <c r="C445" s="195" t="s">
        <v>1952</v>
      </c>
    </row>
    <row r="449" spans="2:15">
      <c r="B449" s="5" t="s">
        <v>1582</v>
      </c>
    </row>
    <row r="452" spans="2:15" ht="17.399999999999999">
      <c r="G452" s="1307" t="s">
        <v>1953</v>
      </c>
    </row>
    <row r="453" spans="2:15">
      <c r="G453" s="511" t="s">
        <v>1583</v>
      </c>
    </row>
    <row r="454" spans="2:15" ht="15.6">
      <c r="C454" s="295" t="s">
        <v>1584</v>
      </c>
      <c r="G454" s="511" t="s">
        <v>1658</v>
      </c>
    </row>
    <row r="455" spans="2:15" ht="15.6">
      <c r="C455" s="296" t="s">
        <v>1585</v>
      </c>
    </row>
    <row r="456" spans="2:15">
      <c r="C456" s="855" t="s">
        <v>1657</v>
      </c>
      <c r="O456" s="5"/>
    </row>
    <row r="457" spans="2:15" ht="42">
      <c r="C457" s="298"/>
      <c r="D457" s="298" t="s">
        <v>1586</v>
      </c>
      <c r="E457" s="298" t="s">
        <v>818</v>
      </c>
      <c r="O457" s="56"/>
    </row>
    <row r="458" spans="2:15">
      <c r="C458" s="297" t="s">
        <v>1587</v>
      </c>
      <c r="D458" s="298"/>
      <c r="E458" s="298"/>
      <c r="O458" s="56"/>
    </row>
    <row r="459" spans="2:15" ht="15" thickBot="1">
      <c r="C459" s="36" t="s">
        <v>1588</v>
      </c>
      <c r="D459" s="1308">
        <v>983</v>
      </c>
      <c r="E459" s="856">
        <f>D459/$D$468*100</f>
        <v>15.023689439095216</v>
      </c>
      <c r="O459" s="44"/>
    </row>
    <row r="460" spans="2:15" ht="15" thickBot="1">
      <c r="C460" s="36" t="s">
        <v>1531</v>
      </c>
      <c r="D460" s="1124">
        <v>1208</v>
      </c>
      <c r="E460" s="856">
        <f t="shared" ref="E460:E468" si="4">D460/$D$468*100</f>
        <v>18.462478985174997</v>
      </c>
      <c r="O460" s="44"/>
    </row>
    <row r="461" spans="2:15" ht="15" thickBot="1">
      <c r="C461" s="36" t="s">
        <v>1535</v>
      </c>
      <c r="D461" s="1124">
        <v>695</v>
      </c>
      <c r="E461" s="856">
        <f t="shared" si="4"/>
        <v>10.622038820113099</v>
      </c>
      <c r="O461" s="44"/>
    </row>
    <row r="462" spans="2:15" ht="15" thickBot="1">
      <c r="C462" s="36" t="s">
        <v>1536</v>
      </c>
      <c r="D462" s="1124">
        <v>308</v>
      </c>
      <c r="E462" s="856">
        <f t="shared" si="4"/>
        <v>4.707320800855876</v>
      </c>
      <c r="O462" s="44"/>
    </row>
    <row r="463" spans="2:15" ht="15" thickBot="1">
      <c r="C463" s="36" t="s">
        <v>1539</v>
      </c>
      <c r="D463" s="1124">
        <v>233</v>
      </c>
      <c r="E463" s="856">
        <f t="shared" si="4"/>
        <v>3.5610576188292828</v>
      </c>
      <c r="O463" s="44"/>
    </row>
    <row r="464" spans="2:15" ht="15" thickBot="1">
      <c r="C464" s="36" t="s">
        <v>1538</v>
      </c>
      <c r="D464" s="1124">
        <v>215</v>
      </c>
      <c r="E464" s="856">
        <f t="shared" si="4"/>
        <v>3.285954455142901</v>
      </c>
      <c r="O464" s="44"/>
    </row>
    <row r="465" spans="2:15" ht="15" thickBot="1">
      <c r="C465" s="36" t="s">
        <v>1534</v>
      </c>
      <c r="D465" s="1124">
        <v>168</v>
      </c>
      <c r="E465" s="856">
        <f t="shared" si="4"/>
        <v>2.5676295277395691</v>
      </c>
      <c r="O465" s="44"/>
    </row>
    <row r="466" spans="2:15" ht="15" thickBot="1">
      <c r="C466" s="36" t="s">
        <v>1537</v>
      </c>
      <c r="D466" s="1124">
        <v>319</v>
      </c>
      <c r="E466" s="856">
        <f t="shared" si="4"/>
        <v>4.8754394008864432</v>
      </c>
      <c r="O466" s="44"/>
    </row>
    <row r="467" spans="2:15" ht="15" thickBot="1">
      <c r="C467" s="36" t="s">
        <v>1548</v>
      </c>
      <c r="D467" s="1124">
        <v>2414</v>
      </c>
      <c r="E467" s="856">
        <f t="shared" si="4"/>
        <v>36.894390952162617</v>
      </c>
      <c r="O467" s="44"/>
    </row>
    <row r="468" spans="2:15" ht="15" thickBot="1">
      <c r="C468" s="857" t="s">
        <v>3</v>
      </c>
      <c r="D468" s="1309">
        <f>SUM(D459:D467)</f>
        <v>6543</v>
      </c>
      <c r="E468" s="860">
        <f t="shared" si="4"/>
        <v>100</v>
      </c>
      <c r="O468" s="304"/>
    </row>
    <row r="469" spans="2:15">
      <c r="C469" s="858" t="s">
        <v>1589</v>
      </c>
    </row>
    <row r="470" spans="2:15">
      <c r="C470" s="859" t="s">
        <v>1590</v>
      </c>
      <c r="D470" s="23"/>
    </row>
    <row r="471" spans="2:15">
      <c r="C471" s="195" t="s">
        <v>1952</v>
      </c>
    </row>
    <row r="474" spans="2:15">
      <c r="B474" t="s">
        <v>1591</v>
      </c>
    </row>
    <row r="475" spans="2:15">
      <c r="B475" t="s">
        <v>1592</v>
      </c>
    </row>
    <row r="476" spans="2:15">
      <c r="E476">
        <v>1000</v>
      </c>
    </row>
    <row r="477" spans="2:15">
      <c r="B477" s="861" t="s">
        <v>1593</v>
      </c>
      <c r="C477" s="861" t="s">
        <v>1594</v>
      </c>
      <c r="D477" s="861" t="s">
        <v>1595</v>
      </c>
      <c r="E477" s="861" t="s">
        <v>1596</v>
      </c>
      <c r="F477" s="861" t="s">
        <v>1597</v>
      </c>
      <c r="G477" s="861" t="s">
        <v>1598</v>
      </c>
      <c r="H477" s="861">
        <v>2017</v>
      </c>
      <c r="I477" s="861">
        <v>2018</v>
      </c>
      <c r="J477" s="861">
        <v>2019</v>
      </c>
      <c r="K477" s="861">
        <v>2020</v>
      </c>
      <c r="L477" s="861">
        <v>2021</v>
      </c>
      <c r="M477" s="861">
        <v>2022</v>
      </c>
      <c r="N477" s="861">
        <v>2023</v>
      </c>
      <c r="O477" s="861">
        <v>2024</v>
      </c>
    </row>
    <row r="478" spans="2:15">
      <c r="B478" s="710">
        <v>26635</v>
      </c>
      <c r="C478" s="710">
        <v>27702</v>
      </c>
      <c r="D478" s="710">
        <v>29025</v>
      </c>
      <c r="E478" s="710">
        <v>30348</v>
      </c>
      <c r="F478" s="710">
        <v>31637</v>
      </c>
      <c r="G478" s="710">
        <v>32651</v>
      </c>
      <c r="H478" s="710">
        <v>34091</v>
      </c>
      <c r="I478" s="710">
        <v>35680</v>
      </c>
      <c r="J478" s="710">
        <v>36812</v>
      </c>
      <c r="K478" s="710">
        <v>41235</v>
      </c>
      <c r="L478" s="710">
        <v>51993</v>
      </c>
      <c r="M478" s="710">
        <v>59014</v>
      </c>
      <c r="N478" s="710">
        <v>72899</v>
      </c>
      <c r="O478" s="710">
        <v>71161</v>
      </c>
    </row>
    <row r="479" spans="2:15">
      <c r="B479">
        <f t="shared" ref="B479:M479" si="5">B478/$E$476</f>
        <v>26.635000000000002</v>
      </c>
      <c r="C479">
        <f t="shared" si="5"/>
        <v>27.702000000000002</v>
      </c>
      <c r="D479">
        <f t="shared" si="5"/>
        <v>29.024999999999999</v>
      </c>
      <c r="E479">
        <f t="shared" si="5"/>
        <v>30.347999999999999</v>
      </c>
      <c r="F479">
        <f t="shared" si="5"/>
        <v>31.637</v>
      </c>
      <c r="G479">
        <f t="shared" si="5"/>
        <v>32.651000000000003</v>
      </c>
      <c r="H479">
        <f t="shared" si="5"/>
        <v>34.091000000000001</v>
      </c>
      <c r="I479">
        <f t="shared" si="5"/>
        <v>35.68</v>
      </c>
      <c r="J479">
        <f t="shared" si="5"/>
        <v>36.811999999999998</v>
      </c>
      <c r="K479">
        <f t="shared" si="5"/>
        <v>41.234999999999999</v>
      </c>
      <c r="L479">
        <f t="shared" si="5"/>
        <v>51.993000000000002</v>
      </c>
      <c r="M479">
        <f t="shared" si="5"/>
        <v>59.014000000000003</v>
      </c>
      <c r="N479">
        <v>72.899000000000001</v>
      </c>
      <c r="O479">
        <v>71.161000000000001</v>
      </c>
    </row>
    <row r="485" spans="2:2">
      <c r="B485" s="5" t="s">
        <v>1599</v>
      </c>
    </row>
    <row r="509" spans="4:4">
      <c r="D509" s="223" t="s">
        <v>1865</v>
      </c>
    </row>
  </sheetData>
  <mergeCells count="21">
    <mergeCell ref="S202:Z202"/>
    <mergeCell ref="C217:D217"/>
    <mergeCell ref="G217:H217"/>
    <mergeCell ref="K217:L217"/>
    <mergeCell ref="O217:P217"/>
    <mergeCell ref="C202:J202"/>
    <mergeCell ref="K202:R202"/>
    <mergeCell ref="G95:H95"/>
    <mergeCell ref="I95:J95"/>
    <mergeCell ref="C164:L164"/>
    <mergeCell ref="C182:J182"/>
    <mergeCell ref="E95:F95"/>
    <mergeCell ref="C95:D95"/>
    <mergeCell ref="L182:T182"/>
    <mergeCell ref="M164:T164"/>
    <mergeCell ref="AD183:AL183"/>
    <mergeCell ref="AD182:AL182"/>
    <mergeCell ref="U182:AC182"/>
    <mergeCell ref="U183:AC183"/>
    <mergeCell ref="B182:B184"/>
    <mergeCell ref="M183:R183"/>
  </mergeCells>
  <hyperlinks>
    <hyperlink ref="B21" r:id="rId1" display="Source: Worldbank, 2017, World Development Indicators " xr:uid="{00000000-0004-0000-2700-000000000000}"/>
    <hyperlink ref="B56" r:id="rId2" display="Source: 2022 Census of Agriculture, U.S. Department of Agriculture, National Agricultural Statistics Service" xr:uid="{00000000-0004-0000-2700-000001000000}"/>
    <hyperlink ref="B90" r:id="rId3" display="Source: 2022 Census of Agriculture, U.S. Department of Agriculture, National Agricultural Statistics Service, Table 39" xr:uid="{00000000-0004-0000-2700-000002000000}"/>
    <hyperlink ref="B110" r:id="rId4" display="Source: 2017 Census of Agriculture, U.S. Department of Agriculture, National Agricultural Statistics Service" xr:uid="{00000000-0004-0000-2700-000003000000}"/>
    <hyperlink ref="B123" r:id="rId5" display="Source: United States, Departement of Agriculture, Floriculture Crops 2020 Summary , May 2021" xr:uid="{00000000-0004-0000-2700-000004000000}"/>
    <hyperlink ref="B159" r:id="rId6" display="Source: United States, Departement of Agriculture, Floriculture Crops 2020 Summary , May 2021" xr:uid="{00000000-0004-0000-2700-000005000000}"/>
    <hyperlink ref="B176" r:id="rId7" display="Source: United States, Departement of Agriculture, Floriculture Crops 2020 Summary , May 2021" xr:uid="{00000000-0004-0000-2700-000006000000}"/>
    <hyperlink ref="B196" r:id="rId8" display="Source: United States, Departement of Agriculture, Floriculture Crops 2021 Summary , May 2022" xr:uid="{00000000-0004-0000-2700-000007000000}"/>
    <hyperlink ref="B207" r:id="rId9" display="Source: United States, Departement of Agriculture, Floriculture Crops 2020 Summary , May 2021" xr:uid="{00000000-0004-0000-2700-000008000000}"/>
    <hyperlink ref="B240" r:id="rId10" display="Source: 2017 Census of Agriculture, U.S. Department of Agriculture, National Agricultural Statistics Service" xr:uid="{00000000-0004-0000-2700-000009000000}"/>
    <hyperlink ref="B323" r:id="rId11" display="Source: United States Department of Agriculture, Foreign Agricultural Service, 2021" xr:uid="{00000000-0004-0000-2700-00000A000000}"/>
    <hyperlink ref="B296" r:id="rId12" display="Source: United States Department of Agriculture, Foreign Agricultural Service, 2021" xr:uid="{00000000-0004-0000-2700-00000B000000}"/>
    <hyperlink ref="B273" r:id="rId13" display="Source: United States Department of Agriculture, Foreign Agricultural Service, 2021" xr:uid="{00000000-0004-0000-2700-00000C000000}"/>
    <hyperlink ref="B352" r:id="rId14" display="Source: United States Department of Agriculture, Foreign Agricultural Service, 2021" xr:uid="{00000000-0004-0000-2700-00000D000000}"/>
    <hyperlink ref="B341" r:id="rId15" display="Source: United States Department of Agriculture, Foreign Agricultural Service, 2021" xr:uid="{00000000-0004-0000-2700-00000E000000}"/>
    <hyperlink ref="B379" r:id="rId16" display="Source: United States Department of Agriculture, Foreign Agricultural Service, 2021" xr:uid="{00000000-0004-0000-2700-00000F000000}"/>
    <hyperlink ref="C407" r:id="rId17" display="Source: United States, Departement of Agriculture, Floriculture Crops 2020 Summary , May 2021" xr:uid="{00000000-0004-0000-2700-000010000000}"/>
    <hyperlink ref="C445" r:id="rId18" xr:uid="{00000000-0004-0000-2700-000011000000}"/>
    <hyperlink ref="C471" r:id="rId19" display="Source: United States, Departement of Agriculture, Floriculture Crops 2021 Summary , May 2022" xr:uid="{00000000-0004-0000-2700-000012000000}"/>
    <hyperlink ref="D509" r:id="rId20" xr:uid="{00000000-0004-0000-2700-000013000000}"/>
    <hyperlink ref="B136" r:id="rId21" display="Source: United States, Departement of Agriculture, Floriculture Crops 2020 Summary , May 2022" xr:uid="{00000000-0004-0000-2700-000014000000}"/>
    <hyperlink ref="C408" r:id="rId22" xr:uid="{00000000-0004-0000-2700-000015000000}"/>
  </hyperlinks>
  <pageMargins left="0.7" right="0.7" top="0.78740157499999996" bottom="0.78740157499999996" header="0.3" footer="0.3"/>
  <pageSetup paperSize="9" orientation="portrait" r:id="rId23"/>
  <drawing r:id="rId24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92D050"/>
  </sheetPr>
  <dimension ref="B3:O36"/>
  <sheetViews>
    <sheetView showGridLines="0" topLeftCell="A13" workbookViewId="0">
      <selection activeCell="H35" sqref="H35"/>
    </sheetView>
  </sheetViews>
  <sheetFormatPr defaultColWidth="11.44140625" defaultRowHeight="14.4"/>
  <cols>
    <col min="2" max="2" width="29.44140625" customWidth="1"/>
    <col min="3" max="4" width="8.6640625" customWidth="1"/>
    <col min="6" max="6" width="13.5546875" bestFit="1" customWidth="1"/>
  </cols>
  <sheetData>
    <row r="3" spans="2:9" ht="15.6">
      <c r="B3" s="86" t="s">
        <v>308</v>
      </c>
    </row>
    <row r="4" spans="2:9" ht="15.6">
      <c r="B4" s="86"/>
    </row>
    <row r="5" spans="2:9" ht="15.6">
      <c r="B5" s="86" t="s">
        <v>56</v>
      </c>
      <c r="C5" s="78"/>
    </row>
    <row r="6" spans="2:9" ht="15.6">
      <c r="B6" s="81" t="s">
        <v>46</v>
      </c>
      <c r="C6" s="78"/>
    </row>
    <row r="7" spans="2:9" ht="15.6">
      <c r="B7" s="78"/>
      <c r="C7" s="78"/>
    </row>
    <row r="8" spans="2:9">
      <c r="B8" s="85" t="s">
        <v>309</v>
      </c>
      <c r="C8" s="141">
        <v>2020</v>
      </c>
      <c r="D8" s="141">
        <v>2019</v>
      </c>
      <c r="E8" s="141">
        <v>2018</v>
      </c>
      <c r="F8" s="141">
        <v>2017</v>
      </c>
      <c r="G8" s="141">
        <v>2016</v>
      </c>
      <c r="H8" s="141">
        <v>2015</v>
      </c>
      <c r="I8" s="115" t="s">
        <v>1741</v>
      </c>
    </row>
    <row r="9" spans="2:9" ht="15.75" customHeight="1" thickBot="1">
      <c r="B9" s="84" t="s">
        <v>115</v>
      </c>
      <c r="C9" s="145"/>
      <c r="D9" s="204"/>
      <c r="E9" s="204"/>
      <c r="F9" s="204"/>
      <c r="G9" s="204"/>
      <c r="H9" s="204"/>
      <c r="I9" s="204">
        <v>800</v>
      </c>
    </row>
    <row r="10" spans="2:9" ht="15.75" customHeight="1" thickBot="1">
      <c r="B10" s="84" t="s">
        <v>113</v>
      </c>
      <c r="C10" s="22"/>
      <c r="D10" s="44"/>
      <c r="E10" s="44"/>
      <c r="F10" s="44"/>
      <c r="G10" s="44"/>
      <c r="H10" s="44"/>
      <c r="I10" s="44">
        <v>700</v>
      </c>
    </row>
    <row r="11" spans="2:9" ht="15.75" customHeight="1" thickBot="1">
      <c r="B11" s="84" t="s">
        <v>118</v>
      </c>
      <c r="C11" s="22"/>
      <c r="D11" s="44"/>
      <c r="E11" s="44"/>
      <c r="F11" s="44"/>
      <c r="G11" s="44"/>
      <c r="H11" s="44"/>
      <c r="I11" s="44">
        <v>300</v>
      </c>
    </row>
    <row r="12" spans="2:9" ht="15.75" customHeight="1" thickBot="1">
      <c r="B12" s="84" t="s">
        <v>117</v>
      </c>
      <c r="C12" s="22"/>
      <c r="D12" s="44"/>
      <c r="E12" s="44"/>
      <c r="F12" s="44"/>
      <c r="G12" s="44"/>
      <c r="H12" s="44"/>
      <c r="I12" s="44">
        <v>150</v>
      </c>
    </row>
    <row r="13" spans="2:9" ht="15.75" customHeight="1" thickBot="1">
      <c r="B13" s="84" t="s">
        <v>310</v>
      </c>
      <c r="C13" s="22"/>
      <c r="D13" s="44"/>
      <c r="E13" s="44"/>
      <c r="F13" s="44"/>
      <c r="G13" s="44"/>
      <c r="H13" s="44"/>
      <c r="I13" s="44">
        <v>2550</v>
      </c>
    </row>
    <row r="14" spans="2:9" ht="15.75" customHeight="1" thickBot="1">
      <c r="B14" s="84" t="s">
        <v>359</v>
      </c>
      <c r="C14" s="22"/>
      <c r="D14" s="44"/>
      <c r="E14" s="44"/>
      <c r="F14" s="44"/>
      <c r="G14" s="44"/>
      <c r="H14" s="44"/>
      <c r="I14" s="44">
        <v>4500</v>
      </c>
    </row>
    <row r="15" spans="2:9" ht="15.75" customHeight="1">
      <c r="B15" s="152" t="s">
        <v>311</v>
      </c>
      <c r="C15" s="163"/>
      <c r="D15" s="39"/>
      <c r="E15" s="39"/>
      <c r="F15" s="39"/>
      <c r="G15" s="39"/>
      <c r="H15" s="39"/>
      <c r="I15" s="39">
        <v>8700</v>
      </c>
    </row>
    <row r="16" spans="2:9">
      <c r="B16" s="127" t="s">
        <v>40</v>
      </c>
      <c r="C16" s="73" t="s">
        <v>1736</v>
      </c>
      <c r="D16" s="73" t="s">
        <v>1740</v>
      </c>
      <c r="E16" s="73" t="s">
        <v>1745</v>
      </c>
      <c r="F16" s="73" t="s">
        <v>1746</v>
      </c>
      <c r="G16" s="73" t="s">
        <v>1747</v>
      </c>
      <c r="H16" s="73" t="s">
        <v>1748</v>
      </c>
      <c r="I16" s="73">
        <v>13200</v>
      </c>
    </row>
    <row r="19" spans="2:15">
      <c r="B19" s="85" t="s">
        <v>312</v>
      </c>
      <c r="C19" s="115">
        <v>2020</v>
      </c>
      <c r="D19" s="141">
        <v>2019</v>
      </c>
      <c r="E19" s="141">
        <v>2018</v>
      </c>
      <c r="F19" s="141">
        <v>2017</v>
      </c>
      <c r="G19" s="141">
        <v>2016</v>
      </c>
      <c r="H19" s="141">
        <v>2015</v>
      </c>
      <c r="I19" s="115" t="s">
        <v>1741</v>
      </c>
    </row>
    <row r="20" spans="2:15" ht="15" thickBot="1">
      <c r="B20" s="84" t="s">
        <v>313</v>
      </c>
      <c r="C20" s="22"/>
      <c r="D20" s="204"/>
      <c r="E20" s="204" t="s">
        <v>1749</v>
      </c>
      <c r="F20" s="204" t="s">
        <v>1750</v>
      </c>
      <c r="G20" s="204" t="s">
        <v>1751</v>
      </c>
      <c r="H20" s="204"/>
      <c r="I20" s="44">
        <v>2025</v>
      </c>
    </row>
    <row r="21" spans="2:15" ht="15" thickBot="1">
      <c r="B21" s="84" t="s">
        <v>314</v>
      </c>
      <c r="C21" s="22"/>
      <c r="D21" s="44"/>
      <c r="E21" s="44"/>
      <c r="F21" s="44"/>
      <c r="G21" s="44"/>
      <c r="H21" s="44"/>
      <c r="I21" s="44">
        <v>700</v>
      </c>
    </row>
    <row r="22" spans="2:15" ht="15" thickBot="1">
      <c r="B22" s="84" t="s">
        <v>315</v>
      </c>
      <c r="C22" s="22" t="s">
        <v>1737</v>
      </c>
      <c r="D22" s="44" t="s">
        <v>1739</v>
      </c>
      <c r="E22" s="44" t="s">
        <v>1742</v>
      </c>
      <c r="F22" s="44" t="s">
        <v>1743</v>
      </c>
      <c r="G22" s="44" t="s">
        <v>1744</v>
      </c>
      <c r="H22" s="44" t="s">
        <v>1738</v>
      </c>
      <c r="I22" s="44">
        <v>330</v>
      </c>
      <c r="J22" s="23"/>
      <c r="K22" s="23"/>
      <c r="L22" s="23"/>
      <c r="M22" s="23"/>
      <c r="N22" s="23"/>
      <c r="O22" s="23"/>
    </row>
    <row r="23" spans="2:15" ht="15" thickBot="1">
      <c r="B23" s="84" t="s">
        <v>316</v>
      </c>
      <c r="C23" s="22"/>
      <c r="D23" s="44"/>
      <c r="E23" s="44"/>
      <c r="F23" s="44"/>
      <c r="G23" s="44"/>
      <c r="H23" s="44"/>
      <c r="I23" s="44">
        <v>300</v>
      </c>
      <c r="J23" s="134"/>
    </row>
    <row r="24" spans="2:15" ht="15" thickBot="1">
      <c r="B24" s="84" t="s">
        <v>317</v>
      </c>
      <c r="C24" s="22"/>
      <c r="D24" s="44"/>
      <c r="E24" s="44"/>
      <c r="F24" s="44"/>
      <c r="G24" s="44"/>
      <c r="H24" s="44"/>
      <c r="I24" s="44">
        <v>135</v>
      </c>
    </row>
    <row r="25" spans="2:15" ht="15" thickBot="1">
      <c r="B25" s="84" t="s">
        <v>318</v>
      </c>
      <c r="C25" s="22"/>
      <c r="D25" s="44"/>
      <c r="E25" s="44"/>
      <c r="F25" s="44"/>
      <c r="G25" s="44"/>
      <c r="H25" s="44"/>
      <c r="I25" s="44">
        <v>7200</v>
      </c>
    </row>
    <row r="26" spans="2:15" ht="15" thickBot="1">
      <c r="B26" s="84" t="s">
        <v>319</v>
      </c>
      <c r="C26" s="22"/>
      <c r="D26" s="44"/>
      <c r="E26" s="44"/>
      <c r="F26" s="44"/>
      <c r="G26" s="44"/>
      <c r="H26" s="44"/>
      <c r="I26" s="44">
        <v>1580</v>
      </c>
    </row>
    <row r="27" spans="2:15" ht="15" thickBot="1">
      <c r="B27" s="84" t="s">
        <v>320</v>
      </c>
      <c r="C27" s="22"/>
      <c r="D27" s="44"/>
      <c r="E27" s="44"/>
      <c r="F27" s="44"/>
      <c r="G27" s="44"/>
      <c r="H27" s="44"/>
      <c r="I27" s="44">
        <v>1800</v>
      </c>
    </row>
    <row r="28" spans="2:15">
      <c r="B28" s="152" t="s">
        <v>129</v>
      </c>
      <c r="C28" s="163"/>
      <c r="D28" s="39"/>
      <c r="E28" s="39"/>
      <c r="F28" s="39"/>
      <c r="G28" s="39"/>
      <c r="H28" s="39"/>
      <c r="I28" s="39">
        <v>2650</v>
      </c>
    </row>
    <row r="29" spans="2:15">
      <c r="B29" s="127" t="s">
        <v>40</v>
      </c>
      <c r="C29" s="73" t="s">
        <v>1736</v>
      </c>
      <c r="D29" s="73" t="s">
        <v>1740</v>
      </c>
      <c r="E29" s="73" t="s">
        <v>1745</v>
      </c>
      <c r="F29" s="73" t="s">
        <v>1746</v>
      </c>
      <c r="G29" s="73" t="s">
        <v>1747</v>
      </c>
      <c r="H29" s="73" t="s">
        <v>1748</v>
      </c>
      <c r="I29" s="73">
        <v>13200</v>
      </c>
      <c r="J29" s="134"/>
      <c r="K29" s="134"/>
      <c r="L29" s="134"/>
      <c r="M29" s="134"/>
      <c r="N29" s="134"/>
      <c r="O29" s="134"/>
    </row>
    <row r="30" spans="2:15">
      <c r="B30" s="687" t="s">
        <v>1731</v>
      </c>
    </row>
    <row r="31" spans="2:15">
      <c r="B31" s="41" t="s">
        <v>1735</v>
      </c>
    </row>
    <row r="32" spans="2:15">
      <c r="B32" s="1022" t="s">
        <v>1732</v>
      </c>
    </row>
    <row r="33" spans="2:11">
      <c r="B33" s="1022" t="s">
        <v>1733</v>
      </c>
      <c r="C33" s="82"/>
      <c r="D33" s="82"/>
      <c r="E33" s="82"/>
      <c r="F33" s="82"/>
      <c r="J33" s="134"/>
      <c r="K33" s="134"/>
    </row>
    <row r="34" spans="2:11">
      <c r="B34" s="88" t="s">
        <v>1734</v>
      </c>
      <c r="C34" s="82"/>
      <c r="D34" s="82"/>
      <c r="E34" s="82"/>
      <c r="F34" s="82"/>
    </row>
    <row r="35" spans="2:11">
      <c r="B35" s="77" t="s">
        <v>321</v>
      </c>
    </row>
    <row r="36" spans="2:11">
      <c r="B36" s="77" t="s">
        <v>322</v>
      </c>
    </row>
  </sheetData>
  <hyperlinks>
    <hyperlink ref="B34" r:id="rId1" display="Source: Dutch Embassy Hanoi, Agriculture, Nature and Food Section, " xr:uid="{00000000-0004-0000-2800-000000000000}"/>
    <hyperlink ref="B33" r:id="rId2" display="Source: Vietnam Journal of Agricultural Sciences - May 2021" xr:uid="{00000000-0004-0000-2800-000001000000}"/>
    <hyperlink ref="B32" r:id="rId3" display="1 Source: Ha Noi Rural Development Division" xr:uid="{00000000-0004-0000-2800-000002000000}"/>
    <hyperlink ref="B31" r:id="rId4" xr:uid="{00000000-0004-0000-2800-000003000000}"/>
  </hyperlinks>
  <pageMargins left="0.7" right="0.7" top="0.78740157499999996" bottom="0.78740157499999996" header="0.3" footer="0.3"/>
  <pageSetup paperSize="9" orientation="portrait"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B1:O126"/>
  <sheetViews>
    <sheetView zoomScaleNormal="100" workbookViewId="0">
      <selection sqref="A1:XFD1048576"/>
    </sheetView>
  </sheetViews>
  <sheetFormatPr defaultColWidth="11.44140625" defaultRowHeight="14.4"/>
  <cols>
    <col min="1" max="1" width="11.44140625" style="873"/>
    <col min="2" max="2" width="39.109375" style="873" customWidth="1"/>
    <col min="3" max="3" width="11.44140625" style="873" customWidth="1"/>
    <col min="4" max="4" width="11.44140625" style="873"/>
    <col min="5" max="5" width="11.5546875" style="873" customWidth="1"/>
    <col min="6" max="16384" width="11.44140625" style="873"/>
  </cols>
  <sheetData>
    <row r="1" spans="2:5" ht="15.6">
      <c r="B1" s="872" t="s">
        <v>529</v>
      </c>
    </row>
    <row r="3" spans="2:5" ht="15.6">
      <c r="B3" s="83" t="s">
        <v>2417</v>
      </c>
    </row>
    <row r="4" spans="2:5" ht="15.6">
      <c r="B4" s="872"/>
    </row>
    <row r="5" spans="2:5" ht="15" customHeight="1">
      <c r="B5" s="13" t="s">
        <v>530</v>
      </c>
      <c r="C5" s="874"/>
      <c r="D5" s="874">
        <v>27.2</v>
      </c>
      <c r="E5" s="875" t="s">
        <v>531</v>
      </c>
    </row>
    <row r="6" spans="2:5">
      <c r="B6" s="13" t="s">
        <v>532</v>
      </c>
      <c r="C6" s="876"/>
      <c r="D6" s="876">
        <v>7741220</v>
      </c>
      <c r="E6" s="875" t="s">
        <v>533</v>
      </c>
    </row>
    <row r="7" spans="2:5" ht="26.4">
      <c r="B7" s="242" t="s">
        <v>534</v>
      </c>
      <c r="C7" s="877"/>
      <c r="D7" s="877">
        <v>3</v>
      </c>
      <c r="E7" s="878" t="s">
        <v>535</v>
      </c>
    </row>
    <row r="8" spans="2:5" ht="15" customHeight="1">
      <c r="B8" s="245"/>
      <c r="C8" s="879"/>
      <c r="D8" s="879"/>
      <c r="E8" s="875"/>
    </row>
    <row r="9" spans="2:5" ht="15.6">
      <c r="B9" s="13" t="s">
        <v>536</v>
      </c>
      <c r="C9" s="880"/>
      <c r="D9" s="880">
        <v>1702</v>
      </c>
      <c r="E9" s="875" t="s">
        <v>537</v>
      </c>
    </row>
    <row r="10" spans="2:5" ht="15" customHeight="1">
      <c r="B10" s="245" t="s">
        <v>538</v>
      </c>
      <c r="C10" s="879"/>
      <c r="D10" s="879">
        <v>62550</v>
      </c>
      <c r="E10" s="875" t="s">
        <v>539</v>
      </c>
    </row>
    <row r="11" spans="2:5">
      <c r="B11" s="13" t="s">
        <v>540</v>
      </c>
      <c r="C11" s="880"/>
      <c r="D11" s="880">
        <v>1872</v>
      </c>
      <c r="E11" s="875" t="s">
        <v>537</v>
      </c>
    </row>
    <row r="12" spans="2:5">
      <c r="B12" s="245" t="s">
        <v>541</v>
      </c>
      <c r="C12" s="879"/>
      <c r="D12" s="879"/>
      <c r="E12" s="875"/>
    </row>
    <row r="13" spans="2:5" ht="26.4">
      <c r="B13" s="245" t="s">
        <v>538</v>
      </c>
      <c r="C13" s="879"/>
      <c r="D13" s="879">
        <v>68800</v>
      </c>
      <c r="E13" s="875" t="s">
        <v>542</v>
      </c>
    </row>
    <row r="14" spans="2:5">
      <c r="B14" s="248"/>
      <c r="C14" s="881"/>
      <c r="D14" s="881"/>
      <c r="E14" s="878"/>
    </row>
    <row r="15" spans="2:5">
      <c r="B15" s="13" t="s">
        <v>543</v>
      </c>
      <c r="C15" s="874"/>
      <c r="D15" s="874">
        <v>1.4</v>
      </c>
      <c r="E15" s="875" t="s">
        <v>544</v>
      </c>
    </row>
    <row r="16" spans="2:5" ht="26.4">
      <c r="B16" s="13" t="s">
        <v>545</v>
      </c>
      <c r="C16" s="874"/>
      <c r="D16" s="874">
        <v>-0.6</v>
      </c>
      <c r="E16" s="875" t="s">
        <v>546</v>
      </c>
    </row>
    <row r="17" spans="2:8" ht="15" customHeight="1">
      <c r="B17" s="882"/>
      <c r="C17" s="879"/>
      <c r="D17" s="879"/>
      <c r="E17" s="875"/>
    </row>
    <row r="18" spans="2:8">
      <c r="B18" s="883" t="s">
        <v>547</v>
      </c>
      <c r="C18" s="884"/>
      <c r="D18" s="884"/>
      <c r="E18" s="884"/>
    </row>
    <row r="19" spans="2:8">
      <c r="B19" s="885" t="s">
        <v>2415</v>
      </c>
      <c r="C19" s="886"/>
      <c r="D19" s="886"/>
      <c r="E19" s="887"/>
    </row>
    <row r="22" spans="2:8" ht="15.6">
      <c r="B22" s="83" t="s">
        <v>548</v>
      </c>
    </row>
    <row r="23" spans="2:8">
      <c r="B23" s="888" t="s">
        <v>549</v>
      </c>
    </row>
    <row r="24" spans="2:8">
      <c r="B24" s="254"/>
      <c r="C24" s="115" t="s">
        <v>2028</v>
      </c>
      <c r="D24" s="255" t="s">
        <v>1831</v>
      </c>
      <c r="E24" s="255" t="s">
        <v>1626</v>
      </c>
      <c r="F24" s="256" t="s">
        <v>559</v>
      </c>
      <c r="G24" s="256" t="s">
        <v>550</v>
      </c>
      <c r="H24" s="256" t="s">
        <v>551</v>
      </c>
    </row>
    <row r="25" spans="2:8" ht="15" thickBot="1">
      <c r="B25" s="889" t="s">
        <v>553</v>
      </c>
      <c r="C25" s="22" t="s">
        <v>59</v>
      </c>
      <c r="D25" s="44" t="s">
        <v>59</v>
      </c>
      <c r="E25" s="44">
        <v>70857</v>
      </c>
      <c r="F25" s="890">
        <v>60681</v>
      </c>
      <c r="G25" s="890">
        <v>60430</v>
      </c>
      <c r="H25" s="890">
        <v>58930.656244999998</v>
      </c>
    </row>
    <row r="26" spans="2:8" ht="15" thickBot="1">
      <c r="B26" s="889" t="s">
        <v>554</v>
      </c>
      <c r="C26" s="22" t="s">
        <v>59</v>
      </c>
      <c r="D26" s="44" t="s">
        <v>59</v>
      </c>
      <c r="E26" s="44">
        <v>39932</v>
      </c>
      <c r="F26" s="890">
        <v>28252</v>
      </c>
      <c r="G26" s="890">
        <v>29658</v>
      </c>
      <c r="H26" s="890">
        <v>29346.046157000001</v>
      </c>
    </row>
    <row r="27" spans="2:8" ht="15" thickBot="1">
      <c r="B27" s="2" t="s">
        <v>555</v>
      </c>
      <c r="C27" s="42">
        <v>2647</v>
      </c>
      <c r="D27" s="42" t="s">
        <v>59</v>
      </c>
      <c r="E27" s="42">
        <v>1360</v>
      </c>
      <c r="F27" s="42">
        <v>1268</v>
      </c>
      <c r="G27" s="42">
        <v>1179</v>
      </c>
      <c r="H27" s="42">
        <v>1136.3425810000001</v>
      </c>
    </row>
    <row r="28" spans="2:8" ht="15" thickBot="1">
      <c r="B28" s="889" t="s">
        <v>556</v>
      </c>
      <c r="C28" s="22">
        <v>444</v>
      </c>
      <c r="D28" s="44" t="s">
        <v>59</v>
      </c>
      <c r="E28" s="44">
        <v>455</v>
      </c>
      <c r="F28" s="890">
        <v>387</v>
      </c>
      <c r="G28" s="890">
        <v>351</v>
      </c>
      <c r="H28" s="890">
        <v>303.93489672999999</v>
      </c>
    </row>
    <row r="29" spans="2:8" ht="15" thickBot="1">
      <c r="B29" s="889" t="s">
        <v>557</v>
      </c>
      <c r="C29" s="22">
        <v>2203</v>
      </c>
      <c r="D29" s="44">
        <v>237</v>
      </c>
      <c r="E29" s="44">
        <v>905</v>
      </c>
      <c r="F29" s="890">
        <v>881</v>
      </c>
      <c r="G29" s="890">
        <v>829</v>
      </c>
      <c r="H29" s="890">
        <v>832.40768427</v>
      </c>
    </row>
    <row r="30" spans="2:8" ht="15" thickBot="1">
      <c r="B30" s="2" t="s">
        <v>558</v>
      </c>
      <c r="C30" s="42">
        <v>290</v>
      </c>
      <c r="D30" s="42" t="s">
        <v>59</v>
      </c>
      <c r="E30" s="42">
        <v>225</v>
      </c>
      <c r="F30" s="42">
        <v>233</v>
      </c>
      <c r="G30" s="42">
        <v>262</v>
      </c>
      <c r="H30" s="42">
        <v>260.54721433000003</v>
      </c>
    </row>
    <row r="31" spans="2:8" ht="15" thickBot="1">
      <c r="B31" s="889" t="s">
        <v>556</v>
      </c>
      <c r="C31" s="22">
        <v>37</v>
      </c>
      <c r="D31" s="44" t="s">
        <v>59</v>
      </c>
      <c r="E31" s="44">
        <v>80</v>
      </c>
      <c r="F31" s="890">
        <v>78</v>
      </c>
      <c r="G31" s="890">
        <v>78</v>
      </c>
      <c r="H31" s="890">
        <v>91.260500109999995</v>
      </c>
    </row>
    <row r="32" spans="2:8" ht="15" thickBot="1">
      <c r="B32" s="889" t="s">
        <v>557</v>
      </c>
      <c r="C32" s="22">
        <v>253</v>
      </c>
      <c r="D32" s="44" t="s">
        <v>59</v>
      </c>
      <c r="E32" s="44">
        <v>145</v>
      </c>
      <c r="F32" s="890">
        <v>155</v>
      </c>
      <c r="G32" s="890">
        <v>184</v>
      </c>
      <c r="H32" s="890">
        <v>169.28671421000001</v>
      </c>
    </row>
    <row r="33" spans="2:14">
      <c r="B33" s="892" t="s">
        <v>1833</v>
      </c>
    </row>
    <row r="34" spans="2:14">
      <c r="B34" s="892" t="s">
        <v>2027</v>
      </c>
    </row>
    <row r="36" spans="2:14" ht="15.6">
      <c r="B36" s="83" t="s">
        <v>70</v>
      </c>
      <c r="C36" s="893"/>
      <c r="D36" s="893"/>
      <c r="E36" s="893"/>
      <c r="F36" s="893"/>
    </row>
    <row r="37" spans="2:14">
      <c r="B37" s="888" t="s">
        <v>46</v>
      </c>
      <c r="C37" s="893"/>
      <c r="D37" s="893"/>
      <c r="E37" s="893"/>
      <c r="F37" s="893"/>
    </row>
    <row r="38" spans="2:14">
      <c r="B38" s="85"/>
      <c r="C38" s="115" t="s">
        <v>2028</v>
      </c>
      <c r="D38" s="115" t="s">
        <v>1831</v>
      </c>
      <c r="E38" s="115" t="s">
        <v>1626</v>
      </c>
      <c r="F38" s="115" t="s">
        <v>559</v>
      </c>
      <c r="G38" s="115" t="s">
        <v>550</v>
      </c>
      <c r="H38" s="115" t="s">
        <v>551</v>
      </c>
      <c r="I38" s="115" t="s">
        <v>552</v>
      </c>
      <c r="J38" s="115" t="s">
        <v>360</v>
      </c>
      <c r="K38" s="115" t="s">
        <v>560</v>
      </c>
      <c r="L38" s="894"/>
      <c r="M38" s="894"/>
    </row>
    <row r="39" spans="2:14" ht="15" thickBot="1">
      <c r="B39" s="889" t="s">
        <v>50</v>
      </c>
      <c r="C39" s="22">
        <v>1265</v>
      </c>
      <c r="D39" s="22" t="s">
        <v>59</v>
      </c>
      <c r="E39" s="22">
        <v>847</v>
      </c>
      <c r="F39" s="890">
        <v>736.32</v>
      </c>
      <c r="G39" s="890">
        <v>671</v>
      </c>
      <c r="H39" s="890">
        <v>593</v>
      </c>
      <c r="I39" s="890">
        <v>570</v>
      </c>
      <c r="J39" s="890">
        <v>426</v>
      </c>
      <c r="K39" s="890">
        <v>345</v>
      </c>
      <c r="L39" s="895"/>
      <c r="M39" s="895"/>
    </row>
    <row r="40" spans="2:14">
      <c r="B40" s="896" t="s">
        <v>51</v>
      </c>
      <c r="C40" s="257">
        <v>6369</v>
      </c>
      <c r="D40" s="257">
        <v>3460</v>
      </c>
      <c r="E40" s="257">
        <v>3985</v>
      </c>
      <c r="F40" s="897">
        <v>3954.29</v>
      </c>
      <c r="G40" s="897">
        <v>3844</v>
      </c>
      <c r="H40" s="897">
        <v>3906</v>
      </c>
      <c r="I40" s="897">
        <v>3926</v>
      </c>
      <c r="J40" s="897">
        <v>3898</v>
      </c>
      <c r="K40" s="897">
        <v>4315</v>
      </c>
      <c r="L40" s="895"/>
      <c r="M40" s="895"/>
    </row>
    <row r="41" spans="2:14">
      <c r="B41" s="258" t="s">
        <v>52</v>
      </c>
      <c r="C41" s="73">
        <v>7634</v>
      </c>
      <c r="D41" s="73">
        <v>3460</v>
      </c>
      <c r="E41" s="73">
        <v>4832</v>
      </c>
      <c r="F41" s="73">
        <v>4690.6000000000004</v>
      </c>
      <c r="G41" s="73">
        <v>4515</v>
      </c>
      <c r="H41" s="73">
        <v>4499</v>
      </c>
      <c r="I41" s="73">
        <v>4496</v>
      </c>
      <c r="J41" s="73">
        <v>4324</v>
      </c>
      <c r="K41" s="73">
        <v>4660</v>
      </c>
      <c r="L41" s="259"/>
      <c r="M41" s="259"/>
    </row>
    <row r="42" spans="2:14">
      <c r="B42" s="892" t="s">
        <v>1834</v>
      </c>
      <c r="C42" s="895"/>
      <c r="D42" s="895"/>
      <c r="E42" s="895"/>
      <c r="F42" s="895"/>
      <c r="G42" s="895"/>
      <c r="H42" s="895"/>
      <c r="I42" s="895"/>
      <c r="J42" s="895"/>
      <c r="K42" s="895"/>
      <c r="L42" s="895"/>
      <c r="M42" s="895"/>
    </row>
    <row r="43" spans="2:14">
      <c r="B43" s="892" t="s">
        <v>2027</v>
      </c>
      <c r="C43" s="895"/>
      <c r="D43" s="895"/>
      <c r="E43" s="895"/>
      <c r="F43" s="895"/>
      <c r="G43" s="895"/>
      <c r="H43" s="895"/>
      <c r="I43" s="895"/>
      <c r="J43" s="895"/>
      <c r="K43" s="895"/>
      <c r="L43" s="895"/>
      <c r="M43" s="895"/>
    </row>
    <row r="44" spans="2:14">
      <c r="B44" s="892"/>
      <c r="C44" s="895"/>
      <c r="D44" s="895"/>
      <c r="E44" s="895"/>
      <c r="F44" s="895"/>
      <c r="G44" s="895"/>
      <c r="H44" s="895"/>
      <c r="I44" s="895"/>
      <c r="J44" s="895"/>
      <c r="K44" s="895"/>
      <c r="L44" s="895"/>
      <c r="M44" s="895"/>
    </row>
    <row r="45" spans="2:14" ht="15.6">
      <c r="B45" s="83" t="s">
        <v>53</v>
      </c>
      <c r="C45" s="259"/>
      <c r="D45" s="259"/>
      <c r="E45" s="259"/>
      <c r="F45" s="259"/>
      <c r="G45" s="259"/>
      <c r="H45" s="259"/>
      <c r="I45" s="259"/>
      <c r="J45" s="895"/>
      <c r="K45" s="895"/>
      <c r="L45" s="895"/>
      <c r="M45" s="895"/>
    </row>
    <row r="46" spans="2:14">
      <c r="B46" s="888" t="s">
        <v>54</v>
      </c>
      <c r="C46" s="259"/>
      <c r="D46" s="259"/>
      <c r="E46" s="259"/>
      <c r="F46" s="259"/>
      <c r="G46" s="259"/>
      <c r="H46" s="259"/>
      <c r="I46" s="259"/>
      <c r="J46" s="895"/>
      <c r="K46" s="895"/>
      <c r="L46" s="895"/>
      <c r="M46" s="895"/>
    </row>
    <row r="47" spans="2:14">
      <c r="B47" s="254"/>
      <c r="C47" s="115" t="s">
        <v>2028</v>
      </c>
      <c r="D47" s="115" t="s">
        <v>1626</v>
      </c>
      <c r="E47" s="115" t="s">
        <v>559</v>
      </c>
      <c r="F47" s="115" t="s">
        <v>550</v>
      </c>
      <c r="G47" s="115" t="s">
        <v>551</v>
      </c>
      <c r="H47" s="115" t="s">
        <v>552</v>
      </c>
      <c r="I47" s="115" t="s">
        <v>360</v>
      </c>
      <c r="J47" s="115" t="s">
        <v>560</v>
      </c>
      <c r="K47" s="115" t="s">
        <v>561</v>
      </c>
      <c r="M47" s="894"/>
      <c r="N47" s="894"/>
    </row>
    <row r="48" spans="2:14" ht="15" thickBot="1">
      <c r="B48" s="889" t="s">
        <v>50</v>
      </c>
      <c r="C48" s="22">
        <v>105</v>
      </c>
      <c r="D48" s="22">
        <v>330</v>
      </c>
      <c r="E48" s="890">
        <v>314.23</v>
      </c>
      <c r="F48" s="890">
        <v>340</v>
      </c>
      <c r="G48" s="890">
        <v>435</v>
      </c>
      <c r="H48" s="890">
        <v>481</v>
      </c>
      <c r="I48" s="890">
        <v>316</v>
      </c>
      <c r="J48" s="890">
        <v>286</v>
      </c>
      <c r="K48" s="890">
        <v>260</v>
      </c>
      <c r="M48" s="895"/>
      <c r="N48" s="895"/>
    </row>
    <row r="49" spans="2:14">
      <c r="B49" s="896" t="s">
        <v>51</v>
      </c>
      <c r="C49" s="257">
        <v>850</v>
      </c>
      <c r="D49" s="257">
        <v>3934</v>
      </c>
      <c r="E49" s="897">
        <v>4212.3100000000004</v>
      </c>
      <c r="F49" s="897">
        <v>5148</v>
      </c>
      <c r="G49" s="897">
        <v>4949</v>
      </c>
      <c r="H49" s="897">
        <v>3919</v>
      </c>
      <c r="I49" s="897">
        <v>3980</v>
      </c>
      <c r="J49" s="897">
        <v>3852</v>
      </c>
      <c r="K49" s="897">
        <v>4210</v>
      </c>
      <c r="M49" s="895"/>
      <c r="N49" s="895"/>
    </row>
    <row r="50" spans="2:14">
      <c r="B50" s="258" t="s">
        <v>52</v>
      </c>
      <c r="C50" s="73">
        <v>955</v>
      </c>
      <c r="D50" s="73">
        <v>4264</v>
      </c>
      <c r="E50" s="73">
        <v>4526.53</v>
      </c>
      <c r="F50" s="73">
        <v>5488</v>
      </c>
      <c r="G50" s="73">
        <v>5384</v>
      </c>
      <c r="H50" s="73">
        <v>4399</v>
      </c>
      <c r="I50" s="73">
        <v>4296</v>
      </c>
      <c r="J50" s="73">
        <v>4138</v>
      </c>
      <c r="K50" s="73">
        <v>4470</v>
      </c>
      <c r="M50" s="259"/>
      <c r="N50" s="259"/>
    </row>
    <row r="51" spans="2:14">
      <c r="B51" s="892" t="s">
        <v>1834</v>
      </c>
    </row>
    <row r="52" spans="2:14">
      <c r="B52" s="892" t="s">
        <v>2027</v>
      </c>
    </row>
    <row r="54" spans="2:14" ht="15.6">
      <c r="B54" s="83" t="s">
        <v>563</v>
      </c>
    </row>
    <row r="55" spans="2:14">
      <c r="B55" s="254"/>
      <c r="C55" s="115" t="s">
        <v>1831</v>
      </c>
      <c r="D55" s="115" t="s">
        <v>1626</v>
      </c>
      <c r="E55" s="115" t="s">
        <v>559</v>
      </c>
      <c r="F55" s="115" t="s">
        <v>550</v>
      </c>
      <c r="G55" s="115" t="s">
        <v>551</v>
      </c>
      <c r="H55" s="115" t="s">
        <v>552</v>
      </c>
      <c r="I55" s="115" t="s">
        <v>360</v>
      </c>
      <c r="J55" s="115" t="s">
        <v>560</v>
      </c>
      <c r="K55" s="115" t="s">
        <v>561</v>
      </c>
      <c r="L55" s="894"/>
    </row>
    <row r="56" spans="2:14" ht="15" thickBot="1">
      <c r="B56" s="889" t="s">
        <v>564</v>
      </c>
      <c r="C56" s="22">
        <v>845</v>
      </c>
      <c r="D56" s="22">
        <v>1142</v>
      </c>
      <c r="E56" s="890">
        <v>1265.25</v>
      </c>
      <c r="F56" s="890">
        <v>1235</v>
      </c>
      <c r="G56" s="890">
        <v>1171</v>
      </c>
      <c r="H56" s="890">
        <v>1222</v>
      </c>
      <c r="I56" s="890">
        <v>1127</v>
      </c>
      <c r="J56" s="890">
        <v>1395</v>
      </c>
      <c r="K56" s="890">
        <v>1104</v>
      </c>
      <c r="L56" s="895"/>
    </row>
    <row r="57" spans="2:14">
      <c r="B57" s="896" t="s">
        <v>53</v>
      </c>
      <c r="C57" s="257" t="s">
        <v>59</v>
      </c>
      <c r="D57" s="257">
        <v>547</v>
      </c>
      <c r="E57" s="897">
        <v>539</v>
      </c>
      <c r="F57" s="897">
        <v>504</v>
      </c>
      <c r="G57" s="897">
        <v>533</v>
      </c>
      <c r="H57" s="897">
        <v>577</v>
      </c>
      <c r="I57" s="897">
        <v>579</v>
      </c>
      <c r="J57" s="897">
        <v>690</v>
      </c>
      <c r="K57" s="897">
        <v>675</v>
      </c>
      <c r="L57" s="895"/>
    </row>
    <row r="58" spans="2:14">
      <c r="B58" s="892" t="s">
        <v>1834</v>
      </c>
    </row>
    <row r="60" spans="2:14">
      <c r="B60" s="892"/>
    </row>
    <row r="61" spans="2:14" ht="15.6">
      <c r="B61" s="83" t="s">
        <v>1628</v>
      </c>
    </row>
    <row r="62" spans="2:14">
      <c r="B62" s="888" t="s">
        <v>1627</v>
      </c>
    </row>
    <row r="63" spans="2:14">
      <c r="B63" s="254"/>
      <c r="C63" s="115" t="s">
        <v>552</v>
      </c>
    </row>
    <row r="64" spans="2:14" ht="15" thickBot="1">
      <c r="B64" s="889" t="s">
        <v>565</v>
      </c>
      <c r="C64" s="22">
        <v>926146.09</v>
      </c>
    </row>
    <row r="65" spans="2:8" ht="15" thickBot="1">
      <c r="B65" s="889" t="s">
        <v>566</v>
      </c>
      <c r="C65" s="22">
        <v>443968.81</v>
      </c>
    </row>
    <row r="66" spans="2:8" ht="15" thickBot="1">
      <c r="B66" s="889" t="s">
        <v>567</v>
      </c>
      <c r="C66" s="22">
        <v>79275.56</v>
      </c>
    </row>
    <row r="67" spans="2:8" ht="15" thickBot="1">
      <c r="B67" s="889" t="s">
        <v>568</v>
      </c>
      <c r="C67" s="22">
        <v>56393.27</v>
      </c>
    </row>
    <row r="68" spans="2:8" ht="15" thickBot="1">
      <c r="B68" s="889" t="s">
        <v>569</v>
      </c>
      <c r="C68" s="22">
        <v>22276.65</v>
      </c>
    </row>
    <row r="69" spans="2:8" ht="15" thickBot="1">
      <c r="B69" s="889" t="s">
        <v>2026</v>
      </c>
      <c r="C69" s="22">
        <v>776749.32</v>
      </c>
    </row>
    <row r="70" spans="2:8" ht="15" thickBot="1">
      <c r="B70" s="889" t="s">
        <v>570</v>
      </c>
      <c r="C70" s="22">
        <v>234714.47</v>
      </c>
    </row>
    <row r="71" spans="2:8" ht="15" thickBot="1">
      <c r="B71" s="889" t="s">
        <v>571</v>
      </c>
      <c r="C71" s="22">
        <v>1882954.65</v>
      </c>
    </row>
    <row r="72" spans="2:8">
      <c r="B72" s="898" t="s">
        <v>572</v>
      </c>
    </row>
    <row r="75" spans="2:8" ht="15.6">
      <c r="B75" s="83" t="s">
        <v>53</v>
      </c>
      <c r="F75" s="83" t="s">
        <v>247</v>
      </c>
    </row>
    <row r="76" spans="2:8">
      <c r="B76" s="888" t="s">
        <v>573</v>
      </c>
      <c r="F76" s="888" t="s">
        <v>573</v>
      </c>
    </row>
    <row r="77" spans="2:8">
      <c r="B77" s="254"/>
      <c r="C77" s="115" t="s">
        <v>2000</v>
      </c>
      <c r="D77" s="256" t="s">
        <v>574</v>
      </c>
      <c r="F77" s="254"/>
      <c r="G77" s="115" t="s">
        <v>2000</v>
      </c>
      <c r="H77" s="256" t="s">
        <v>574</v>
      </c>
    </row>
    <row r="78" spans="2:8" ht="21" thickBot="1">
      <c r="B78" s="889" t="s">
        <v>575</v>
      </c>
      <c r="C78" s="890">
        <v>118</v>
      </c>
      <c r="D78" s="899">
        <v>12</v>
      </c>
      <c r="F78" s="889" t="s">
        <v>575</v>
      </c>
      <c r="G78" s="890">
        <v>2291</v>
      </c>
      <c r="H78" s="899">
        <v>30</v>
      </c>
    </row>
    <row r="79" spans="2:8" ht="15" thickBot="1">
      <c r="B79" s="889" t="s">
        <v>576</v>
      </c>
      <c r="C79" s="890">
        <v>336</v>
      </c>
      <c r="D79" s="899">
        <v>35</v>
      </c>
      <c r="F79" s="889" t="s">
        <v>576</v>
      </c>
      <c r="G79" s="890">
        <v>2139</v>
      </c>
      <c r="H79" s="899">
        <v>28</v>
      </c>
    </row>
    <row r="80" spans="2:8" ht="15" thickBot="1">
      <c r="B80" s="889" t="s">
        <v>577</v>
      </c>
      <c r="C80" s="890">
        <v>182</v>
      </c>
      <c r="D80" s="899">
        <v>19</v>
      </c>
      <c r="F80" s="889" t="s">
        <v>577</v>
      </c>
      <c r="G80" s="890">
        <v>2291</v>
      </c>
      <c r="H80" s="899">
        <v>30</v>
      </c>
    </row>
    <row r="81" spans="2:15" ht="15" thickBot="1">
      <c r="B81" s="889" t="s">
        <v>578</v>
      </c>
      <c r="C81" s="890">
        <v>209</v>
      </c>
      <c r="D81" s="899">
        <v>22</v>
      </c>
      <c r="F81" s="889" t="s">
        <v>579</v>
      </c>
      <c r="G81" s="890">
        <v>54</v>
      </c>
      <c r="H81" s="899">
        <v>0</v>
      </c>
    </row>
    <row r="82" spans="2:15" ht="15" thickBot="1">
      <c r="B82" s="889" t="s">
        <v>580</v>
      </c>
      <c r="C82" s="890">
        <v>110</v>
      </c>
      <c r="D82" s="899">
        <v>12</v>
      </c>
      <c r="F82" s="889" t="s">
        <v>580</v>
      </c>
      <c r="G82" s="890">
        <v>859</v>
      </c>
      <c r="H82" s="899">
        <v>12</v>
      </c>
    </row>
    <row r="83" spans="2:15" ht="15" thickBot="1">
      <c r="B83" s="914" t="s">
        <v>52</v>
      </c>
      <c r="C83" s="74">
        <v>955</v>
      </c>
      <c r="D83" s="915">
        <v>100</v>
      </c>
      <c r="F83" s="914" t="s">
        <v>52</v>
      </c>
      <c r="G83" s="74">
        <v>7634</v>
      </c>
      <c r="H83" s="915">
        <v>100</v>
      </c>
    </row>
    <row r="85" spans="2:15">
      <c r="B85" s="892" t="s">
        <v>2001</v>
      </c>
    </row>
    <row r="88" spans="2:15" ht="15.6">
      <c r="B88" s="900" t="s">
        <v>529</v>
      </c>
      <c r="N88"/>
    </row>
    <row r="89" spans="2:15" ht="15.6">
      <c r="B89" s="900" t="s">
        <v>581</v>
      </c>
      <c r="N89"/>
    </row>
    <row r="90" spans="2:15">
      <c r="B90" s="901" t="s">
        <v>582</v>
      </c>
      <c r="N90"/>
    </row>
    <row r="91" spans="2:15">
      <c r="B91" s="127"/>
      <c r="C91" s="262">
        <v>2024</v>
      </c>
      <c r="D91" s="262">
        <v>2023</v>
      </c>
      <c r="E91" s="262">
        <v>2022</v>
      </c>
      <c r="F91" s="262">
        <v>2021</v>
      </c>
      <c r="G91" s="262">
        <v>2020</v>
      </c>
      <c r="H91" s="262">
        <v>2019</v>
      </c>
      <c r="I91" s="262">
        <v>2018</v>
      </c>
      <c r="J91" s="262">
        <v>2017</v>
      </c>
      <c r="K91" s="262">
        <v>2016</v>
      </c>
      <c r="L91" s="262">
        <v>2015</v>
      </c>
      <c r="M91" s="262">
        <v>2014</v>
      </c>
      <c r="N91" s="757"/>
      <c r="O91" s="757"/>
    </row>
    <row r="92" spans="2:15" ht="15" thickBot="1">
      <c r="B92" s="902" t="s">
        <v>583</v>
      </c>
      <c r="C92" s="916">
        <v>59408</v>
      </c>
      <c r="D92" s="753">
        <v>54898</v>
      </c>
      <c r="E92" s="753">
        <v>67653</v>
      </c>
      <c r="F92" s="753">
        <v>58492</v>
      </c>
      <c r="G92" s="903">
        <v>44529</v>
      </c>
      <c r="H92" s="903">
        <v>45587</v>
      </c>
      <c r="I92" s="904">
        <v>43174</v>
      </c>
      <c r="J92" s="904">
        <v>42923</v>
      </c>
      <c r="K92" s="904">
        <v>40334</v>
      </c>
      <c r="L92" s="904">
        <v>45470</v>
      </c>
      <c r="M92" s="904">
        <v>38821</v>
      </c>
      <c r="N92" s="309"/>
      <c r="O92" s="309"/>
    </row>
    <row r="93" spans="2:15" ht="15" thickBot="1">
      <c r="B93" s="902" t="s">
        <v>584</v>
      </c>
      <c r="C93" s="916">
        <v>12367</v>
      </c>
      <c r="D93" s="753">
        <v>12675</v>
      </c>
      <c r="E93" s="745">
        <v>14621</v>
      </c>
      <c r="F93" s="745">
        <v>14146</v>
      </c>
      <c r="G93" s="905">
        <v>11166</v>
      </c>
      <c r="H93" s="905">
        <v>12263</v>
      </c>
      <c r="I93" s="904">
        <v>12834</v>
      </c>
      <c r="J93" s="904">
        <v>15285</v>
      </c>
      <c r="K93" s="904">
        <v>15221</v>
      </c>
      <c r="L93" s="904">
        <v>17673</v>
      </c>
      <c r="M93" s="904">
        <v>16250</v>
      </c>
      <c r="N93" s="309"/>
      <c r="O93" s="309"/>
    </row>
    <row r="94" spans="2:15" ht="15" thickBot="1">
      <c r="B94" s="902" t="s">
        <v>585</v>
      </c>
      <c r="C94" s="916">
        <v>13253</v>
      </c>
      <c r="D94" s="753">
        <v>13085</v>
      </c>
      <c r="E94" s="745">
        <v>15350</v>
      </c>
      <c r="F94" s="745">
        <v>16280</v>
      </c>
      <c r="G94" s="905">
        <v>13264</v>
      </c>
      <c r="H94" s="905">
        <v>13294</v>
      </c>
      <c r="I94" s="904">
        <v>11780</v>
      </c>
      <c r="J94" s="904">
        <v>10502</v>
      </c>
      <c r="K94" s="904">
        <v>10071</v>
      </c>
      <c r="L94" s="904">
        <v>9466</v>
      </c>
      <c r="M94" s="904">
        <v>6836</v>
      </c>
      <c r="N94" s="309"/>
      <c r="O94" s="309"/>
    </row>
    <row r="95" spans="2:15">
      <c r="B95" s="906" t="s">
        <v>586</v>
      </c>
      <c r="C95" s="917">
        <v>2977</v>
      </c>
      <c r="D95" s="1077">
        <v>2831</v>
      </c>
      <c r="E95" s="1077">
        <v>4207</v>
      </c>
      <c r="F95" s="1077">
        <v>4587</v>
      </c>
      <c r="G95" s="907">
        <v>4383</v>
      </c>
      <c r="H95" s="907">
        <v>3629</v>
      </c>
      <c r="I95" s="908">
        <v>3122</v>
      </c>
      <c r="J95" s="908">
        <v>3731</v>
      </c>
      <c r="K95" s="908">
        <v>2283</v>
      </c>
      <c r="L95" s="908">
        <v>2336</v>
      </c>
      <c r="M95" s="908">
        <v>2040</v>
      </c>
      <c r="N95" s="309"/>
      <c r="O95" s="309"/>
    </row>
    <row r="96" spans="2:15">
      <c r="B96" s="127" t="s">
        <v>52</v>
      </c>
      <c r="C96" s="73">
        <f>C95+C94+C93+C92</f>
        <v>88005</v>
      </c>
      <c r="D96" s="73">
        <f>D95+D94+D93+D92</f>
        <v>83489</v>
      </c>
      <c r="E96" s="73">
        <f>E95+E94+E93+E92</f>
        <v>101831</v>
      </c>
      <c r="F96" s="73">
        <v>93505</v>
      </c>
      <c r="G96" s="73">
        <v>73342</v>
      </c>
      <c r="H96" s="73">
        <v>74773</v>
      </c>
      <c r="I96" s="73">
        <v>70910</v>
      </c>
      <c r="J96" s="73">
        <v>72441</v>
      </c>
      <c r="K96" s="73">
        <v>67909</v>
      </c>
      <c r="L96" s="73">
        <v>74945</v>
      </c>
      <c r="M96" s="73">
        <v>63947</v>
      </c>
      <c r="N96" s="126"/>
      <c r="O96" s="126"/>
    </row>
    <row r="97" spans="2:15">
      <c r="B97" s="892" t="s">
        <v>2020</v>
      </c>
      <c r="N97"/>
    </row>
    <row r="98" spans="2:15">
      <c r="N98"/>
    </row>
    <row r="99" spans="2:15">
      <c r="N99"/>
    </row>
    <row r="100" spans="2:15">
      <c r="N100"/>
    </row>
    <row r="101" spans="2:15" ht="15.6">
      <c r="B101" s="900" t="s">
        <v>587</v>
      </c>
      <c r="N101"/>
    </row>
    <row r="102" spans="2:15">
      <c r="B102" s="901" t="s">
        <v>582</v>
      </c>
      <c r="N102"/>
    </row>
    <row r="103" spans="2:15">
      <c r="B103" s="127"/>
      <c r="C103" s="262">
        <v>2024</v>
      </c>
      <c r="D103" s="262">
        <v>2023</v>
      </c>
      <c r="E103" s="262">
        <v>2022</v>
      </c>
      <c r="F103" s="262">
        <v>2021</v>
      </c>
      <c r="G103" s="262">
        <v>2020</v>
      </c>
      <c r="H103" s="262">
        <v>2019</v>
      </c>
      <c r="I103" s="262">
        <v>2018</v>
      </c>
      <c r="J103" s="262">
        <v>2017</v>
      </c>
      <c r="K103" s="262">
        <v>2016</v>
      </c>
      <c r="L103" s="262">
        <v>2015</v>
      </c>
      <c r="M103" s="262">
        <v>2014</v>
      </c>
      <c r="N103" s="757"/>
      <c r="O103" s="757"/>
    </row>
    <row r="104" spans="2:15" ht="15" thickBot="1">
      <c r="B104" s="902" t="s">
        <v>585</v>
      </c>
      <c r="C104" s="1150">
        <v>5042</v>
      </c>
      <c r="D104" s="1363">
        <v>7337</v>
      </c>
      <c r="E104" s="753">
        <v>9373</v>
      </c>
      <c r="F104" s="753">
        <v>4199</v>
      </c>
      <c r="G104" s="903">
        <v>3677</v>
      </c>
      <c r="H104" s="903">
        <v>3451</v>
      </c>
      <c r="I104" s="904">
        <v>3709</v>
      </c>
      <c r="J104" s="904">
        <v>4812</v>
      </c>
      <c r="K104" s="904">
        <v>4671</v>
      </c>
      <c r="L104" s="904">
        <v>2734</v>
      </c>
      <c r="M104" s="904">
        <v>1932</v>
      </c>
      <c r="N104" s="309"/>
      <c r="O104" s="309"/>
    </row>
    <row r="105" spans="2:15" ht="15" thickBot="1">
      <c r="B105" s="902" t="s">
        <v>583</v>
      </c>
      <c r="C105" s="1150">
        <v>2295</v>
      </c>
      <c r="D105" s="1363">
        <v>2626</v>
      </c>
      <c r="E105" s="745">
        <v>3173</v>
      </c>
      <c r="F105" s="745">
        <v>3399</v>
      </c>
      <c r="G105" s="905">
        <v>2670</v>
      </c>
      <c r="H105" s="905">
        <v>3902</v>
      </c>
      <c r="I105" s="904">
        <v>3915</v>
      </c>
      <c r="J105" s="904">
        <v>4096</v>
      </c>
      <c r="K105" s="904">
        <v>3247</v>
      </c>
      <c r="L105" s="904">
        <v>2556</v>
      </c>
      <c r="M105" s="904">
        <v>1875</v>
      </c>
      <c r="N105" s="309"/>
      <c r="O105" s="309"/>
    </row>
    <row r="106" spans="2:15" ht="15" thickBot="1">
      <c r="B106" s="910" t="s">
        <v>586</v>
      </c>
      <c r="C106" s="1151">
        <v>3220</v>
      </c>
      <c r="D106" s="1375">
        <v>3253</v>
      </c>
      <c r="E106" s="745">
        <v>2886</v>
      </c>
      <c r="F106" s="745">
        <v>2321</v>
      </c>
      <c r="G106" s="905">
        <v>1781</v>
      </c>
      <c r="H106" s="905">
        <v>2543</v>
      </c>
      <c r="I106" s="904">
        <v>2679</v>
      </c>
      <c r="J106" s="904">
        <v>2738</v>
      </c>
      <c r="K106" s="904">
        <v>2919</v>
      </c>
      <c r="L106" s="904">
        <v>2926</v>
      </c>
      <c r="M106" s="904">
        <v>2974</v>
      </c>
      <c r="N106" s="309"/>
      <c r="O106" s="309"/>
    </row>
    <row r="107" spans="2:15">
      <c r="B107" s="906" t="s">
        <v>584</v>
      </c>
      <c r="C107" s="1152">
        <v>90</v>
      </c>
      <c r="D107" s="1376">
        <v>96</v>
      </c>
      <c r="E107" s="1077">
        <v>116</v>
      </c>
      <c r="F107" s="1077">
        <v>77</v>
      </c>
      <c r="G107" s="907">
        <v>38</v>
      </c>
      <c r="H107" s="907">
        <v>77</v>
      </c>
      <c r="I107" s="908">
        <v>339</v>
      </c>
      <c r="J107" s="908">
        <v>192</v>
      </c>
      <c r="K107" s="908">
        <v>148</v>
      </c>
      <c r="L107" s="908">
        <v>114</v>
      </c>
      <c r="M107" s="908">
        <v>199</v>
      </c>
      <c r="N107" s="309"/>
      <c r="O107" s="309"/>
    </row>
    <row r="108" spans="2:15">
      <c r="B108" s="127" t="s">
        <v>52</v>
      </c>
      <c r="C108" s="73">
        <v>10647</v>
      </c>
      <c r="D108" s="73">
        <f>D107+D106+D105+D104</f>
        <v>13312</v>
      </c>
      <c r="E108" s="73">
        <f>E107+E106+E105+E104</f>
        <v>15548</v>
      </c>
      <c r="F108" s="73">
        <v>9996</v>
      </c>
      <c r="G108" s="73">
        <v>8166</v>
      </c>
      <c r="H108" s="73">
        <v>9973</v>
      </c>
      <c r="I108" s="73">
        <v>10642</v>
      </c>
      <c r="J108" s="73">
        <v>11838</v>
      </c>
      <c r="K108" s="73">
        <v>10985</v>
      </c>
      <c r="L108" s="73">
        <v>8330</v>
      </c>
      <c r="M108" s="73">
        <v>6980</v>
      </c>
      <c r="N108" s="126"/>
      <c r="O108" s="126"/>
    </row>
    <row r="109" spans="2:15">
      <c r="B109" s="911" t="s">
        <v>2019</v>
      </c>
      <c r="N109"/>
    </row>
    <row r="110" spans="2:15">
      <c r="N110"/>
    </row>
    <row r="111" spans="2:15">
      <c r="N111"/>
    </row>
    <row r="112" spans="2:15" ht="15.6">
      <c r="B112" s="900" t="s">
        <v>588</v>
      </c>
      <c r="N112"/>
    </row>
    <row r="113" spans="2:15">
      <c r="B113" s="901" t="s">
        <v>589</v>
      </c>
      <c r="N113"/>
    </row>
    <row r="114" spans="2:15">
      <c r="B114" s="270" t="s">
        <v>590</v>
      </c>
      <c r="C114" s="262">
        <v>2024</v>
      </c>
      <c r="D114" s="262">
        <v>2023</v>
      </c>
      <c r="E114" s="262">
        <v>2022</v>
      </c>
      <c r="F114" s="262">
        <v>2021</v>
      </c>
      <c r="G114" s="262">
        <v>2020</v>
      </c>
      <c r="H114" s="262">
        <v>2019</v>
      </c>
      <c r="I114" s="262">
        <v>2018</v>
      </c>
      <c r="J114" s="262">
        <v>2017</v>
      </c>
      <c r="K114" s="262">
        <v>2016</v>
      </c>
      <c r="L114" s="262">
        <v>2015</v>
      </c>
      <c r="M114" s="262">
        <v>2014</v>
      </c>
      <c r="N114" s="757"/>
      <c r="O114" s="757"/>
    </row>
    <row r="115" spans="2:15" ht="15" thickBot="1">
      <c r="B115" s="902" t="s">
        <v>485</v>
      </c>
      <c r="C115" s="1150">
        <v>13209</v>
      </c>
      <c r="D115" s="1363">
        <v>11995</v>
      </c>
      <c r="E115" s="753">
        <v>17142</v>
      </c>
      <c r="F115" s="753">
        <v>13727</v>
      </c>
      <c r="G115" s="753">
        <v>8333</v>
      </c>
      <c r="H115" s="904">
        <v>8114</v>
      </c>
      <c r="I115" s="904">
        <v>8147</v>
      </c>
      <c r="J115" s="904">
        <v>7618</v>
      </c>
      <c r="K115" s="904">
        <v>6910</v>
      </c>
      <c r="L115" s="904">
        <v>5935</v>
      </c>
      <c r="M115" s="904">
        <v>5127</v>
      </c>
      <c r="N115" s="309"/>
      <c r="O115" s="309"/>
    </row>
    <row r="116" spans="2:15" ht="15" thickBot="1">
      <c r="B116" s="902" t="s">
        <v>27</v>
      </c>
      <c r="C116" s="1150">
        <v>6652</v>
      </c>
      <c r="D116" s="1363">
        <v>7014</v>
      </c>
      <c r="E116" s="745">
        <v>12346</v>
      </c>
      <c r="F116" s="745">
        <v>12556</v>
      </c>
      <c r="G116" s="745">
        <v>8279</v>
      </c>
      <c r="H116" s="904">
        <v>3666</v>
      </c>
      <c r="I116" s="904">
        <v>2527</v>
      </c>
      <c r="J116" s="904">
        <v>2894</v>
      </c>
      <c r="K116" s="904">
        <v>2716</v>
      </c>
      <c r="L116" s="904">
        <v>1650</v>
      </c>
      <c r="M116" s="904">
        <v>1125</v>
      </c>
      <c r="N116" s="309"/>
      <c r="O116" s="309"/>
    </row>
    <row r="117" spans="2:15" ht="15" thickBot="1">
      <c r="B117" s="902" t="s">
        <v>24</v>
      </c>
      <c r="C117" s="1150">
        <v>11376</v>
      </c>
      <c r="D117" s="1363">
        <v>10634</v>
      </c>
      <c r="E117" s="745">
        <v>12871</v>
      </c>
      <c r="F117" s="745">
        <v>9499</v>
      </c>
      <c r="G117" s="745">
        <v>8127</v>
      </c>
      <c r="H117" s="904">
        <v>11381</v>
      </c>
      <c r="I117" s="904">
        <v>11453</v>
      </c>
      <c r="J117" s="904">
        <v>11330</v>
      </c>
      <c r="K117" s="904">
        <v>11630</v>
      </c>
      <c r="L117" s="904">
        <v>19876</v>
      </c>
      <c r="M117" s="904">
        <v>16974</v>
      </c>
      <c r="N117" s="309"/>
      <c r="O117" s="309"/>
    </row>
    <row r="118" spans="2:15" ht="15" thickBot="1">
      <c r="B118" s="902" t="s">
        <v>37</v>
      </c>
      <c r="C118" s="1150">
        <v>9253</v>
      </c>
      <c r="D118" s="1363">
        <v>9050</v>
      </c>
      <c r="E118" s="745">
        <v>10015</v>
      </c>
      <c r="F118" s="745">
        <v>8666</v>
      </c>
      <c r="G118" s="745">
        <v>6299</v>
      </c>
      <c r="H118" s="904">
        <v>7094</v>
      </c>
      <c r="I118" s="904">
        <v>6331</v>
      </c>
      <c r="J118" s="904">
        <v>6436</v>
      </c>
      <c r="K118" s="904">
        <v>5209</v>
      </c>
      <c r="L118" s="904">
        <v>3838</v>
      </c>
      <c r="M118" s="904">
        <v>2361</v>
      </c>
      <c r="N118" s="309"/>
      <c r="O118" s="309"/>
    </row>
    <row r="119" spans="2:15" ht="15" thickBot="1">
      <c r="B119" s="902" t="s">
        <v>35</v>
      </c>
      <c r="C119" s="1150">
        <v>5791</v>
      </c>
      <c r="D119" s="1363">
        <v>6182</v>
      </c>
      <c r="E119" s="745">
        <v>6937</v>
      </c>
      <c r="F119" s="745">
        <v>5364</v>
      </c>
      <c r="G119" s="745">
        <v>5552</v>
      </c>
      <c r="H119" s="904">
        <v>6245</v>
      </c>
      <c r="I119" s="904">
        <v>6052</v>
      </c>
      <c r="J119" s="904">
        <v>6236</v>
      </c>
      <c r="K119" s="904">
        <v>5334</v>
      </c>
      <c r="L119" s="904">
        <v>5199</v>
      </c>
      <c r="M119" s="904">
        <v>4641</v>
      </c>
      <c r="N119" s="309"/>
      <c r="O119" s="309"/>
    </row>
    <row r="120" spans="2:15" ht="15" thickBot="1">
      <c r="B120" s="902" t="s">
        <v>591</v>
      </c>
      <c r="C120" s="1150">
        <v>7890</v>
      </c>
      <c r="D120" s="1363">
        <v>4435</v>
      </c>
      <c r="E120" s="745">
        <v>2599</v>
      </c>
      <c r="F120" s="745">
        <v>3475</v>
      </c>
      <c r="G120" s="745">
        <v>4069</v>
      </c>
      <c r="H120" s="905">
        <v>3005</v>
      </c>
      <c r="I120" s="904">
        <v>2684</v>
      </c>
      <c r="J120" s="904">
        <v>2186</v>
      </c>
      <c r="K120" s="904">
        <v>1670</v>
      </c>
      <c r="L120" s="904">
        <v>1359</v>
      </c>
      <c r="M120" s="904">
        <v>1448</v>
      </c>
      <c r="N120" s="309"/>
      <c r="O120" s="309"/>
    </row>
    <row r="121" spans="2:15" ht="15" thickBot="1">
      <c r="B121" s="902" t="s">
        <v>592</v>
      </c>
      <c r="C121" s="1150">
        <v>1326</v>
      </c>
      <c r="D121" s="1363">
        <v>1231</v>
      </c>
      <c r="E121" s="745">
        <v>1633</v>
      </c>
      <c r="F121" s="745">
        <v>1625</v>
      </c>
      <c r="G121" s="745">
        <v>845</v>
      </c>
      <c r="H121" s="905">
        <v>868</v>
      </c>
      <c r="I121" s="904">
        <v>860</v>
      </c>
      <c r="J121" s="904">
        <v>137</v>
      </c>
      <c r="K121" s="904">
        <v>125</v>
      </c>
      <c r="L121" s="904">
        <v>276</v>
      </c>
      <c r="M121" s="904">
        <v>442</v>
      </c>
      <c r="N121" s="309"/>
      <c r="O121" s="309"/>
    </row>
    <row r="122" spans="2:15" ht="15" thickBot="1">
      <c r="B122" s="902" t="s">
        <v>31</v>
      </c>
      <c r="C122" s="1150">
        <v>721</v>
      </c>
      <c r="D122" s="1363">
        <v>873</v>
      </c>
      <c r="E122" s="745">
        <v>984</v>
      </c>
      <c r="F122" s="745">
        <v>801</v>
      </c>
      <c r="G122" s="745">
        <v>662</v>
      </c>
      <c r="H122" s="905">
        <v>1614</v>
      </c>
      <c r="I122" s="904">
        <v>1706</v>
      </c>
      <c r="J122" s="904">
        <v>1781</v>
      </c>
      <c r="K122" s="904">
        <v>1755</v>
      </c>
      <c r="L122" s="904">
        <v>1838</v>
      </c>
      <c r="M122" s="904">
        <v>1813</v>
      </c>
      <c r="N122" s="309"/>
      <c r="O122" s="309"/>
    </row>
    <row r="123" spans="2:15" ht="15" thickBot="1">
      <c r="B123" s="902" t="s">
        <v>1142</v>
      </c>
      <c r="C123" s="1150">
        <v>636</v>
      </c>
      <c r="D123" s="1363">
        <v>738</v>
      </c>
      <c r="E123" s="745">
        <v>710</v>
      </c>
      <c r="F123" s="745">
        <v>719</v>
      </c>
      <c r="G123" s="745">
        <v>480</v>
      </c>
      <c r="H123" s="905">
        <v>394</v>
      </c>
      <c r="I123" s="904">
        <v>537</v>
      </c>
      <c r="J123" s="904">
        <v>744</v>
      </c>
      <c r="K123" s="904">
        <v>787</v>
      </c>
      <c r="L123" s="904">
        <v>838</v>
      </c>
      <c r="M123" s="904">
        <v>707</v>
      </c>
      <c r="N123" s="309"/>
      <c r="O123" s="309"/>
    </row>
    <row r="124" spans="2:15">
      <c r="B124" s="912" t="s">
        <v>354</v>
      </c>
      <c r="C124" s="1153">
        <f>C125-C123-C122-C121-C120-C119-C118-C117-C116-C115</f>
        <v>2554</v>
      </c>
      <c r="D124" s="1379">
        <f>D125-D123-D122-D121-D120-D119-D118-D117-D116-D115</f>
        <v>2746</v>
      </c>
      <c r="E124" s="1077">
        <f>E125-E123-E122-E121-E120-E119-E118-E117-E116-E115</f>
        <v>2416</v>
      </c>
      <c r="F124" s="1077">
        <v>2063</v>
      </c>
      <c r="G124" s="1077">
        <v>1885</v>
      </c>
      <c r="H124" s="907">
        <v>3205</v>
      </c>
      <c r="I124" s="908">
        <v>2877</v>
      </c>
      <c r="J124" s="908">
        <v>3562</v>
      </c>
      <c r="K124" s="908">
        <v>4199</v>
      </c>
      <c r="L124" s="908">
        <v>4665</v>
      </c>
      <c r="M124" s="908">
        <v>4182</v>
      </c>
      <c r="N124" s="309"/>
      <c r="O124" s="309"/>
    </row>
    <row r="125" spans="2:15">
      <c r="B125" s="271" t="s">
        <v>52</v>
      </c>
      <c r="C125" s="271">
        <v>59408</v>
      </c>
      <c r="D125" s="271">
        <v>54898</v>
      </c>
      <c r="E125" s="272">
        <v>67653</v>
      </c>
      <c r="F125" s="272">
        <v>58492</v>
      </c>
      <c r="G125" s="272">
        <v>44529</v>
      </c>
      <c r="H125" s="272">
        <v>45587</v>
      </c>
      <c r="I125" s="272">
        <v>43174</v>
      </c>
      <c r="J125" s="272">
        <v>42923</v>
      </c>
      <c r="K125" s="272">
        <v>40334</v>
      </c>
      <c r="L125" s="272">
        <v>45470</v>
      </c>
      <c r="M125" s="272">
        <v>38821</v>
      </c>
      <c r="N125" s="959"/>
      <c r="O125" s="959"/>
    </row>
    <row r="126" spans="2:15">
      <c r="B126" s="892" t="s">
        <v>2020</v>
      </c>
      <c r="C126" s="913"/>
      <c r="D126" s="913"/>
      <c r="E126" s="913"/>
      <c r="F126" s="913"/>
      <c r="G126" s="913"/>
      <c r="H126" s="913"/>
      <c r="I126" s="913"/>
      <c r="J126" s="913"/>
      <c r="K126" s="913"/>
      <c r="L126" s="913"/>
      <c r="M126" s="913"/>
      <c r="N126"/>
    </row>
  </sheetData>
  <phoneticPr fontId="138" type="noConversion"/>
  <hyperlinks>
    <hyperlink ref="B19" r:id="rId1" display="Source: Worldbank, 2017, World Development Indicators " xr:uid="{00000000-0004-0000-0100-000000000000}"/>
    <hyperlink ref="B33" r:id="rId2" display="Source: Australian Bureau of Statistics, Value of Agricultural Commodities Produced, 2019" xr:uid="{00000000-0004-0000-0100-000001000000}"/>
    <hyperlink ref="B72" r:id="rId3" xr:uid="{00000000-0004-0000-0100-000002000000}"/>
    <hyperlink ref="B58" r:id="rId4" display="Source: Australian Bureau of Statisics, Agricultural Commodities, 2020" xr:uid="{00000000-0004-0000-0100-000003000000}"/>
    <hyperlink ref="B51" r:id="rId5" display="Source: Australian Bureau of Statisics, Agricultural Commodities, 2020" xr:uid="{00000000-0004-0000-0100-000004000000}"/>
    <hyperlink ref="B42" r:id="rId6" display="Source: Australian Bureau of Statisics, Agricultural Commodities, 2020" xr:uid="{00000000-0004-0000-0100-000005000000}"/>
    <hyperlink ref="B85" r:id="rId7" xr:uid="{00000000-0004-0000-0100-000006000000}"/>
    <hyperlink ref="B97" r:id="rId8" display="Source: ITC Trade Map, 2018" xr:uid="{00000000-0004-0000-0100-000007000000}"/>
    <hyperlink ref="B126" r:id="rId9" display="Source: ITC Trade Map, 2019" xr:uid="{00000000-0004-0000-0100-000008000000}"/>
    <hyperlink ref="B109" r:id="rId10" display="Source: ITC Trade map, 2019" xr:uid="{00000000-0004-0000-0100-000009000000}"/>
    <hyperlink ref="B43" r:id="rId11" display="Source: Horticulture Innovation Australia Limited, Australian Horticulture Statistics Handbook, 2023/2024" xr:uid="{DA010A02-0D14-4002-B152-603F759AD873}"/>
    <hyperlink ref="B52" r:id="rId12" display="Source: Horticulture Innovation Australia Limited, Australian Horticulture Statistics Handbook, 2023/2024" xr:uid="{2F99068B-3404-4E2D-8985-0C5E1528376E}"/>
    <hyperlink ref="B34" r:id="rId13" display="Source: Horticulture Innovation Australia Limited, Australian Horticulture Statistics Handbook, 2023/2024" xr:uid="{2B419748-5800-4758-B3BA-B427DA76FCEB}"/>
  </hyperlink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B3:AC26"/>
  <sheetViews>
    <sheetView showGridLines="0" zoomScale="90" zoomScaleNormal="90" workbookViewId="0">
      <selection activeCell="L18" sqref="L18"/>
    </sheetView>
  </sheetViews>
  <sheetFormatPr defaultColWidth="11.44140625" defaultRowHeight="14.4"/>
  <cols>
    <col min="1" max="1" width="4.44140625" customWidth="1"/>
    <col min="2" max="2" width="8.6640625" customWidth="1"/>
    <col min="3" max="5" width="13.5546875" customWidth="1"/>
    <col min="6" max="6" width="9" customWidth="1"/>
    <col min="7" max="17" width="6.33203125" customWidth="1"/>
    <col min="18" max="20" width="3.109375" customWidth="1"/>
    <col min="21" max="21" width="46.109375" customWidth="1"/>
    <col min="22" max="22" width="7" customWidth="1"/>
    <col min="23" max="23" width="11" customWidth="1"/>
    <col min="24" max="24" width="8" customWidth="1"/>
    <col min="25" max="25" width="10.33203125" customWidth="1"/>
    <col min="26" max="29" width="6.6640625" customWidth="1"/>
  </cols>
  <sheetData>
    <row r="3" spans="2:29" ht="15.6">
      <c r="B3" s="83" t="s">
        <v>41</v>
      </c>
      <c r="C3" s="7"/>
      <c r="D3" s="7"/>
      <c r="E3" s="7"/>
      <c r="F3" s="7"/>
      <c r="G3" s="7"/>
      <c r="N3" s="7"/>
      <c r="O3" s="7"/>
      <c r="P3" s="7"/>
    </row>
    <row r="4" spans="2:29" ht="15.6">
      <c r="B4" s="83"/>
      <c r="C4" s="7"/>
      <c r="D4" s="7"/>
      <c r="E4" s="7"/>
      <c r="F4" s="7"/>
      <c r="G4" s="7"/>
      <c r="N4" s="7"/>
      <c r="O4" s="7"/>
      <c r="P4" s="7"/>
    </row>
    <row r="5" spans="2:29" ht="15" customHeight="1">
      <c r="B5" s="93" t="s">
        <v>376</v>
      </c>
      <c r="C5" s="7"/>
      <c r="D5" s="7"/>
      <c r="E5" s="7"/>
      <c r="F5" s="7"/>
      <c r="G5" s="7"/>
      <c r="N5" s="7"/>
      <c r="O5" s="7"/>
      <c r="P5" s="7"/>
    </row>
    <row r="6" spans="2:29" ht="15" customHeight="1">
      <c r="B6" s="93" t="s">
        <v>46</v>
      </c>
      <c r="C6" s="7"/>
      <c r="D6" s="7"/>
      <c r="E6" s="7"/>
      <c r="F6" s="7"/>
      <c r="G6" s="7"/>
      <c r="N6" s="7"/>
      <c r="O6" s="7"/>
      <c r="P6" s="7"/>
      <c r="U6" s="93" t="s">
        <v>383</v>
      </c>
    </row>
    <row r="7" spans="2:29" ht="18.75" customHeight="1">
      <c r="B7" s="3"/>
      <c r="C7" s="3"/>
      <c r="D7" s="1199">
        <v>2024</v>
      </c>
      <c r="E7" s="1199">
        <v>2023</v>
      </c>
      <c r="F7" s="1199">
        <v>2022</v>
      </c>
      <c r="G7" s="1199">
        <v>2021</v>
      </c>
      <c r="H7" s="1199">
        <v>2020</v>
      </c>
      <c r="I7" s="100">
        <v>2019</v>
      </c>
      <c r="J7" s="100">
        <v>2018</v>
      </c>
      <c r="K7" s="100">
        <v>2017</v>
      </c>
      <c r="L7" s="100">
        <v>2016</v>
      </c>
      <c r="M7" s="100">
        <v>2015</v>
      </c>
      <c r="N7" s="100">
        <v>2014</v>
      </c>
      <c r="O7" s="1049"/>
      <c r="P7" s="1049"/>
      <c r="Q7" s="1198"/>
      <c r="U7" s="93" t="s">
        <v>336</v>
      </c>
    </row>
    <row r="8" spans="2:29" ht="15" thickBot="1">
      <c r="B8" s="35" t="s">
        <v>70</v>
      </c>
      <c r="C8" s="49"/>
      <c r="D8" s="69" t="s">
        <v>59</v>
      </c>
      <c r="E8" s="60" t="s">
        <v>59</v>
      </c>
      <c r="F8" s="1114" t="s">
        <v>59</v>
      </c>
      <c r="G8" s="1114" t="s">
        <v>59</v>
      </c>
      <c r="H8" s="220">
        <v>3925</v>
      </c>
      <c r="I8" s="219"/>
      <c r="J8" s="219"/>
      <c r="K8" s="43"/>
      <c r="L8" s="43">
        <v>4131</v>
      </c>
      <c r="M8" s="43"/>
      <c r="N8" s="43"/>
      <c r="O8" s="126"/>
      <c r="P8" s="126"/>
      <c r="Q8" s="39"/>
      <c r="U8" s="3"/>
      <c r="V8" s="1551">
        <v>2020</v>
      </c>
      <c r="W8" s="1551"/>
      <c r="X8" s="1551">
        <v>2016</v>
      </c>
      <c r="Y8" s="1551"/>
      <c r="Z8" s="100">
        <v>2013</v>
      </c>
      <c r="AA8" s="159">
        <v>2010</v>
      </c>
      <c r="AB8" s="100">
        <v>1999</v>
      </c>
      <c r="AC8" s="100">
        <v>1995</v>
      </c>
    </row>
    <row r="9" spans="2:29" ht="15" thickBot="1">
      <c r="B9" s="131" t="s">
        <v>344</v>
      </c>
      <c r="C9" s="84"/>
      <c r="D9" s="89" t="s">
        <v>59</v>
      </c>
      <c r="E9" s="59" t="s">
        <v>59</v>
      </c>
      <c r="F9" s="1115" t="s">
        <v>59</v>
      </c>
      <c r="G9" s="1115" t="s">
        <v>59</v>
      </c>
      <c r="H9" s="221">
        <v>1200</v>
      </c>
      <c r="I9" s="219"/>
      <c r="J9" s="219"/>
      <c r="K9" s="75"/>
      <c r="L9" s="75">
        <v>1376</v>
      </c>
      <c r="M9" s="75"/>
      <c r="N9" s="75"/>
      <c r="O9" s="39"/>
      <c r="P9" s="39"/>
      <c r="Q9" s="39"/>
      <c r="U9" s="3"/>
      <c r="V9" s="100"/>
      <c r="W9" s="160" t="s">
        <v>384</v>
      </c>
      <c r="X9" s="100"/>
      <c r="Y9" s="160" t="s">
        <v>384</v>
      </c>
      <c r="Z9" s="100"/>
      <c r="AA9" s="3"/>
      <c r="AB9" s="100"/>
      <c r="AC9" s="100"/>
    </row>
    <row r="10" spans="2:29" ht="15" thickBot="1">
      <c r="B10" s="131" t="s">
        <v>1639</v>
      </c>
      <c r="C10" s="84"/>
      <c r="D10" s="89" t="s">
        <v>59</v>
      </c>
      <c r="E10" s="59" t="s">
        <v>59</v>
      </c>
      <c r="F10" s="1115" t="s">
        <v>59</v>
      </c>
      <c r="G10" s="1115" t="s">
        <v>59</v>
      </c>
      <c r="H10" s="221">
        <v>377</v>
      </c>
      <c r="I10" s="219"/>
      <c r="J10" s="219"/>
      <c r="K10" s="75"/>
      <c r="L10" s="75">
        <v>310</v>
      </c>
      <c r="M10" s="75"/>
      <c r="N10" s="75"/>
      <c r="O10" s="39"/>
      <c r="P10" s="39"/>
      <c r="Q10" s="39"/>
      <c r="U10" s="3"/>
      <c r="V10" s="100" t="s">
        <v>0</v>
      </c>
      <c r="W10" s="160" t="s">
        <v>385</v>
      </c>
      <c r="X10" s="100" t="s">
        <v>0</v>
      </c>
      <c r="Y10" s="160" t="s">
        <v>385</v>
      </c>
      <c r="Z10" s="1551" t="s">
        <v>333</v>
      </c>
      <c r="AA10" s="1551"/>
      <c r="AB10" s="1551"/>
      <c r="AC10" s="1551"/>
    </row>
    <row r="11" spans="2:29" ht="15" thickBot="1">
      <c r="B11" s="131" t="s">
        <v>388</v>
      </c>
      <c r="C11" s="84"/>
      <c r="D11" s="89" t="s">
        <v>59</v>
      </c>
      <c r="E11" s="59" t="s">
        <v>59</v>
      </c>
      <c r="F11" s="1115" t="s">
        <v>59</v>
      </c>
      <c r="G11" s="1115" t="s">
        <v>59</v>
      </c>
      <c r="H11" s="221">
        <v>2348</v>
      </c>
      <c r="I11" s="219"/>
      <c r="J11" s="219"/>
      <c r="K11" s="75"/>
      <c r="L11" s="75">
        <v>2445</v>
      </c>
      <c r="M11" s="75"/>
      <c r="N11" s="75"/>
      <c r="O11" s="39"/>
      <c r="P11" s="39"/>
      <c r="Q11" s="39"/>
      <c r="U11" s="71" t="s">
        <v>431</v>
      </c>
      <c r="V11" s="42">
        <v>1717</v>
      </c>
      <c r="W11" s="42">
        <v>463</v>
      </c>
      <c r="X11" s="44">
        <v>1792</v>
      </c>
      <c r="Y11" s="44">
        <v>667</v>
      </c>
      <c r="Z11" s="44">
        <v>2244</v>
      </c>
      <c r="AA11" s="44">
        <v>1787</v>
      </c>
      <c r="AB11" s="44">
        <v>2039</v>
      </c>
      <c r="AC11" s="161">
        <v>2286</v>
      </c>
    </row>
    <row r="12" spans="2:29" ht="15" thickBot="1">
      <c r="B12" s="35" t="s">
        <v>42</v>
      </c>
      <c r="C12" s="49"/>
      <c r="D12" s="1098">
        <f>D13+D14</f>
        <v>414</v>
      </c>
      <c r="E12" s="1116">
        <f>E13+E14</f>
        <v>415</v>
      </c>
      <c r="F12" s="1116">
        <f>F13+F14</f>
        <v>423</v>
      </c>
      <c r="G12" s="1116">
        <f>G13+G14</f>
        <v>428</v>
      </c>
      <c r="H12" s="220">
        <v>339</v>
      </c>
      <c r="I12" s="220">
        <v>346</v>
      </c>
      <c r="J12" s="220">
        <v>345</v>
      </c>
      <c r="K12" s="101">
        <v>349</v>
      </c>
      <c r="L12" s="101">
        <v>348</v>
      </c>
      <c r="M12" s="101">
        <v>400</v>
      </c>
      <c r="N12" s="101">
        <v>405</v>
      </c>
      <c r="O12" s="126"/>
      <c r="P12" s="126"/>
      <c r="Q12" s="39"/>
      <c r="U12" s="131" t="s">
        <v>386</v>
      </c>
      <c r="V12" s="74">
        <v>1200</v>
      </c>
      <c r="W12" s="74">
        <v>298</v>
      </c>
      <c r="X12" s="75">
        <v>1376</v>
      </c>
      <c r="Y12" s="75">
        <v>490</v>
      </c>
      <c r="Z12" s="75">
        <v>1101</v>
      </c>
      <c r="AA12" s="75">
        <v>1327</v>
      </c>
      <c r="AB12" s="75"/>
      <c r="AC12" s="161"/>
    </row>
    <row r="13" spans="2:29" ht="15" thickBot="1">
      <c r="B13" s="131" t="s">
        <v>43</v>
      </c>
      <c r="C13" s="84"/>
      <c r="D13" s="1200">
        <v>249</v>
      </c>
      <c r="E13" s="95">
        <v>254</v>
      </c>
      <c r="F13" s="1117">
        <v>259</v>
      </c>
      <c r="G13" s="1117">
        <v>261</v>
      </c>
      <c r="H13" s="221">
        <v>167</v>
      </c>
      <c r="I13" s="221">
        <v>170</v>
      </c>
      <c r="J13" s="221">
        <v>170</v>
      </c>
      <c r="K13" s="75">
        <v>173</v>
      </c>
      <c r="L13" s="75">
        <v>174</v>
      </c>
      <c r="M13" s="75">
        <v>190</v>
      </c>
      <c r="N13" s="75">
        <v>194</v>
      </c>
      <c r="O13" s="39"/>
      <c r="P13" s="39"/>
      <c r="Q13" s="39"/>
      <c r="U13" s="131" t="s">
        <v>387</v>
      </c>
      <c r="V13" s="42">
        <v>377</v>
      </c>
      <c r="W13" s="42">
        <v>83</v>
      </c>
      <c r="X13" s="44">
        <v>310</v>
      </c>
      <c r="Y13" s="44">
        <v>99</v>
      </c>
      <c r="Z13" s="75">
        <v>949</v>
      </c>
      <c r="AA13" s="75">
        <v>343</v>
      </c>
      <c r="AB13" s="75"/>
      <c r="AC13" s="161"/>
    </row>
    <row r="14" spans="2:29" ht="15" thickBot="1">
      <c r="B14" s="131" t="s">
        <v>44</v>
      </c>
      <c r="C14" s="84"/>
      <c r="D14" s="1200">
        <v>165</v>
      </c>
      <c r="E14" s="95">
        <v>161</v>
      </c>
      <c r="F14" s="1117">
        <v>164</v>
      </c>
      <c r="G14" s="1117">
        <v>167</v>
      </c>
      <c r="H14" s="221">
        <v>172</v>
      </c>
      <c r="I14" s="221">
        <v>176</v>
      </c>
      <c r="J14" s="221">
        <v>175</v>
      </c>
      <c r="K14" s="75">
        <v>176</v>
      </c>
      <c r="L14" s="75">
        <v>174</v>
      </c>
      <c r="M14" s="75">
        <v>210</v>
      </c>
      <c r="N14" s="75">
        <v>211</v>
      </c>
      <c r="O14" s="39"/>
      <c r="P14" s="39"/>
      <c r="Q14" s="39"/>
      <c r="U14" s="131" t="s">
        <v>1638</v>
      </c>
      <c r="V14" s="42">
        <v>2348</v>
      </c>
      <c r="W14" s="42">
        <v>1174</v>
      </c>
      <c r="X14" s="44">
        <v>2445</v>
      </c>
      <c r="Y14" s="44">
        <v>1270</v>
      </c>
      <c r="Z14" s="75">
        <v>2608</v>
      </c>
      <c r="AA14" s="75">
        <v>2002</v>
      </c>
      <c r="AB14" s="75">
        <v>2068</v>
      </c>
      <c r="AC14" s="161">
        <v>1754</v>
      </c>
    </row>
    <row r="15" spans="2:29" ht="15" thickBot="1">
      <c r="B15" s="71" t="s">
        <v>45</v>
      </c>
      <c r="C15" s="49"/>
      <c r="D15" s="69">
        <v>215</v>
      </c>
      <c r="E15" s="60">
        <v>201</v>
      </c>
      <c r="F15" s="1116">
        <v>281</v>
      </c>
      <c r="G15" s="1116">
        <v>251</v>
      </c>
      <c r="H15" s="220">
        <v>324</v>
      </c>
      <c r="I15" s="220">
        <v>289</v>
      </c>
      <c r="J15" s="220">
        <v>319</v>
      </c>
      <c r="K15" s="101">
        <v>281</v>
      </c>
      <c r="L15" s="101">
        <v>298</v>
      </c>
      <c r="M15" s="101"/>
      <c r="N15" s="101"/>
      <c r="O15" s="126"/>
      <c r="P15" s="126"/>
      <c r="Q15" s="39"/>
      <c r="U15" s="390" t="s">
        <v>1640</v>
      </c>
    </row>
    <row r="16" spans="2:29">
      <c r="B16" s="193" t="s">
        <v>2002</v>
      </c>
    </row>
    <row r="17" spans="18:24">
      <c r="R17" s="4"/>
    </row>
    <row r="19" spans="18:24">
      <c r="U19" s="93" t="s">
        <v>389</v>
      </c>
    </row>
    <row r="20" spans="18:24">
      <c r="U20" s="3"/>
      <c r="V20" s="100">
        <v>2020</v>
      </c>
      <c r="W20" s="100">
        <v>2016</v>
      </c>
      <c r="X20" s="162">
        <v>2013</v>
      </c>
    </row>
    <row r="21" spans="18:24" ht="16.8" thickBot="1">
      <c r="U21" s="131" t="s">
        <v>390</v>
      </c>
      <c r="V21" s="42">
        <v>298</v>
      </c>
      <c r="W21" s="43">
        <v>228</v>
      </c>
      <c r="X21" s="44">
        <v>213</v>
      </c>
    </row>
    <row r="22" spans="18:24" ht="16.8" thickBot="1">
      <c r="U22" s="131" t="s">
        <v>430</v>
      </c>
      <c r="V22" s="74">
        <v>1327</v>
      </c>
      <c r="W22" s="101">
        <v>1586</v>
      </c>
      <c r="X22" s="75">
        <v>1263</v>
      </c>
    </row>
    <row r="23" spans="18:24" ht="15" thickBot="1">
      <c r="U23" s="71" t="s">
        <v>52</v>
      </c>
      <c r="V23" s="42">
        <v>1625</v>
      </c>
      <c r="W23" s="43">
        <v>1814</v>
      </c>
      <c r="X23" s="75">
        <v>1476</v>
      </c>
    </row>
    <row r="24" spans="18:24">
      <c r="U24" s="113" t="s">
        <v>391</v>
      </c>
      <c r="V24" s="113"/>
    </row>
    <row r="25" spans="18:24">
      <c r="U25" s="113" t="s">
        <v>429</v>
      </c>
      <c r="V25" s="113"/>
    </row>
    <row r="26" spans="18:24">
      <c r="U26" s="193" t="s">
        <v>1822</v>
      </c>
    </row>
  </sheetData>
  <mergeCells count="3">
    <mergeCell ref="V8:W8"/>
    <mergeCell ref="X8:Y8"/>
    <mergeCell ref="Z10:AC10"/>
  </mergeCells>
  <hyperlinks>
    <hyperlink ref="B16" r:id="rId1" xr:uid="{00000000-0004-0000-0200-000000000000}"/>
    <hyperlink ref="U15" r:id="rId2" display="Source:  Statistik Austria , Agrarstrukturerhebung 2020" xr:uid="{00000000-0004-0000-0200-000001000000}"/>
    <hyperlink ref="U26" r:id="rId3" xr:uid="{00000000-0004-0000-0200-000002000000}"/>
  </hyperlinks>
  <pageMargins left="0.7" right="0.7" top="0.78740157499999996" bottom="0.78740157499999996" header="0.3" footer="0.3"/>
  <pageSetup paperSize="9" orientation="portrait" verticalDpi="300"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N52"/>
  <sheetViews>
    <sheetView showGridLines="0" zoomScale="90" zoomScaleNormal="90" workbookViewId="0">
      <selection activeCell="S28" sqref="S28"/>
    </sheetView>
  </sheetViews>
  <sheetFormatPr defaultColWidth="11.44140625" defaultRowHeight="14.4"/>
  <cols>
    <col min="1" max="1" width="12.33203125" customWidth="1"/>
    <col min="2" max="2" width="27.44140625" customWidth="1"/>
    <col min="3" max="4" width="7.109375" customWidth="1"/>
    <col min="5" max="5" width="7.44140625" customWidth="1"/>
    <col min="6" max="13" width="7.109375" customWidth="1"/>
    <col min="14" max="14" width="5.6640625" customWidth="1"/>
    <col min="15" max="15" width="3.6640625" customWidth="1"/>
    <col min="16" max="16" width="2.88671875" customWidth="1"/>
    <col min="17" max="17" width="8.44140625" customWidth="1"/>
    <col min="18" max="18" width="29.5546875" customWidth="1"/>
    <col min="19" max="30" width="6" customWidth="1"/>
  </cols>
  <sheetData>
    <row r="1" spans="1:14" ht="15" customHeight="1"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</row>
    <row r="2" spans="1:14" ht="15" customHeight="1">
      <c r="B2" s="83" t="s">
        <v>55</v>
      </c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4" ht="15" customHeight="1"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4" ht="15" customHeight="1">
      <c r="B4" s="83" t="s">
        <v>56</v>
      </c>
      <c r="C4" s="83"/>
      <c r="D4" s="93"/>
      <c r="E4" s="93"/>
      <c r="F4" s="93"/>
      <c r="G4" s="93"/>
      <c r="H4" s="93"/>
      <c r="I4" s="93"/>
      <c r="J4" s="93"/>
      <c r="K4" s="93"/>
      <c r="L4" s="93"/>
    </row>
    <row r="5" spans="1:14" ht="15" customHeight="1">
      <c r="B5" s="93" t="s">
        <v>46</v>
      </c>
      <c r="C5" s="93"/>
      <c r="D5" s="93"/>
      <c r="E5" s="93"/>
      <c r="F5" s="93"/>
      <c r="G5" s="93"/>
      <c r="H5" s="93"/>
      <c r="I5" s="93"/>
      <c r="J5" s="93"/>
      <c r="K5" s="93"/>
      <c r="L5" s="93"/>
    </row>
    <row r="6" spans="1:14" ht="15" customHeight="1">
      <c r="B6" s="6"/>
      <c r="C6" s="115">
        <v>2024</v>
      </c>
      <c r="D6" s="115">
        <v>2023</v>
      </c>
      <c r="E6" s="115">
        <v>2022</v>
      </c>
      <c r="F6" s="115">
        <v>2021</v>
      </c>
      <c r="G6" s="115">
        <v>2020</v>
      </c>
      <c r="H6" s="115">
        <v>2019</v>
      </c>
      <c r="I6" s="115">
        <v>2018</v>
      </c>
      <c r="J6" s="115">
        <v>2017</v>
      </c>
      <c r="K6" s="115">
        <v>2016</v>
      </c>
      <c r="L6" s="115">
        <v>2015</v>
      </c>
      <c r="M6" s="115">
        <v>2014</v>
      </c>
      <c r="N6" s="731"/>
    </row>
    <row r="7" spans="1:14" ht="15" customHeight="1" thickBot="1">
      <c r="A7" t="s">
        <v>1800</v>
      </c>
      <c r="B7" s="61" t="s">
        <v>50</v>
      </c>
      <c r="C7" s="69">
        <v>361</v>
      </c>
      <c r="D7" s="60">
        <v>366</v>
      </c>
      <c r="E7" s="202">
        <v>376</v>
      </c>
      <c r="F7" s="202">
        <v>371</v>
      </c>
      <c r="G7" s="202">
        <v>362</v>
      </c>
      <c r="H7" s="202">
        <v>379</v>
      </c>
      <c r="I7" s="60">
        <v>389</v>
      </c>
      <c r="J7" s="60">
        <v>386</v>
      </c>
      <c r="K7" s="60">
        <v>403</v>
      </c>
      <c r="L7" s="60">
        <v>421</v>
      </c>
      <c r="M7" s="60">
        <v>409</v>
      </c>
    </row>
    <row r="8" spans="1:14" ht="15" customHeight="1" thickBot="1">
      <c r="A8" t="s">
        <v>1801</v>
      </c>
      <c r="B8" s="49" t="s">
        <v>57</v>
      </c>
      <c r="C8" s="69">
        <v>1</v>
      </c>
      <c r="D8" s="60">
        <v>1</v>
      </c>
      <c r="E8" s="202">
        <v>3</v>
      </c>
      <c r="F8" s="202">
        <v>3</v>
      </c>
      <c r="G8" s="202">
        <v>3</v>
      </c>
      <c r="H8" s="202">
        <v>2</v>
      </c>
      <c r="I8" s="60">
        <v>3</v>
      </c>
      <c r="J8" s="60">
        <v>2</v>
      </c>
      <c r="K8" s="60">
        <v>4</v>
      </c>
      <c r="L8" s="60">
        <v>3</v>
      </c>
      <c r="M8" s="60">
        <v>4</v>
      </c>
    </row>
    <row r="9" spans="1:14" ht="15" customHeight="1" thickBot="1">
      <c r="A9" t="s">
        <v>1802</v>
      </c>
      <c r="B9" s="49" t="s">
        <v>53</v>
      </c>
      <c r="C9" s="69">
        <v>50</v>
      </c>
      <c r="D9" s="60">
        <v>48</v>
      </c>
      <c r="E9" s="60">
        <v>58</v>
      </c>
      <c r="F9" s="60">
        <v>35</v>
      </c>
      <c r="G9" s="60">
        <v>31</v>
      </c>
      <c r="H9" s="60">
        <v>27</v>
      </c>
      <c r="I9" s="60">
        <v>28</v>
      </c>
      <c r="J9" s="60">
        <v>36</v>
      </c>
      <c r="K9" s="60">
        <v>27</v>
      </c>
      <c r="L9" s="60">
        <v>22</v>
      </c>
      <c r="M9" s="60">
        <v>27</v>
      </c>
    </row>
    <row r="10" spans="1:14" ht="15" customHeight="1" thickBot="1">
      <c r="A10" t="s">
        <v>1803</v>
      </c>
      <c r="B10" s="84" t="s">
        <v>58</v>
      </c>
      <c r="C10" s="89" t="s">
        <v>59</v>
      </c>
      <c r="D10" s="59" t="s">
        <v>59</v>
      </c>
      <c r="E10" s="60" t="s">
        <v>59</v>
      </c>
      <c r="F10" s="60" t="s">
        <v>59</v>
      </c>
      <c r="G10" s="60" t="s">
        <v>59</v>
      </c>
      <c r="H10" s="60" t="s">
        <v>59</v>
      </c>
      <c r="I10" s="59" t="s">
        <v>59</v>
      </c>
      <c r="J10" s="59" t="s">
        <v>59</v>
      </c>
      <c r="K10" s="59" t="s">
        <v>59</v>
      </c>
      <c r="L10" s="59" t="s">
        <v>59</v>
      </c>
      <c r="M10" s="59" t="s">
        <v>59</v>
      </c>
    </row>
    <row r="11" spans="1:14" ht="15" customHeight="1" thickBot="1">
      <c r="A11" t="s">
        <v>1804</v>
      </c>
      <c r="B11" s="49" t="s">
        <v>60</v>
      </c>
      <c r="C11" s="69">
        <v>120</v>
      </c>
      <c r="D11" s="60">
        <v>123</v>
      </c>
      <c r="E11" s="60">
        <v>123</v>
      </c>
      <c r="F11" s="60">
        <v>129</v>
      </c>
      <c r="G11" s="60">
        <v>135</v>
      </c>
      <c r="H11" s="60">
        <v>143</v>
      </c>
      <c r="I11" s="60">
        <v>148</v>
      </c>
      <c r="J11" s="60">
        <v>145</v>
      </c>
      <c r="K11" s="60">
        <v>150</v>
      </c>
      <c r="L11" s="60">
        <v>157</v>
      </c>
      <c r="M11" s="60">
        <v>147</v>
      </c>
    </row>
    <row r="12" spans="1:14" ht="15" customHeight="1" thickBot="1">
      <c r="A12" t="s">
        <v>1805</v>
      </c>
      <c r="B12" s="49" t="s">
        <v>61</v>
      </c>
      <c r="C12" s="69">
        <v>49</v>
      </c>
      <c r="D12" s="60">
        <v>50</v>
      </c>
      <c r="E12" s="60">
        <v>49</v>
      </c>
      <c r="F12" s="60">
        <v>57</v>
      </c>
      <c r="G12" s="60">
        <v>52</v>
      </c>
      <c r="H12" s="60">
        <v>45</v>
      </c>
      <c r="I12" s="60">
        <v>49</v>
      </c>
      <c r="J12" s="60">
        <v>52</v>
      </c>
      <c r="K12" s="60">
        <v>52</v>
      </c>
      <c r="L12" s="60">
        <v>58</v>
      </c>
      <c r="M12" s="60">
        <v>56</v>
      </c>
    </row>
    <row r="13" spans="1:14" ht="15" customHeight="1" thickBot="1">
      <c r="A13" t="s">
        <v>1806</v>
      </c>
      <c r="B13" s="84" t="s">
        <v>345</v>
      </c>
      <c r="C13" s="89">
        <v>8</v>
      </c>
      <c r="D13" s="59">
        <v>12</v>
      </c>
      <c r="E13" s="59">
        <v>13</v>
      </c>
      <c r="F13" s="59">
        <v>16</v>
      </c>
      <c r="G13" s="59">
        <v>14</v>
      </c>
      <c r="H13" s="59">
        <v>14</v>
      </c>
      <c r="I13" s="59">
        <v>19</v>
      </c>
      <c r="J13" s="59">
        <v>21</v>
      </c>
      <c r="K13" s="59">
        <v>21</v>
      </c>
      <c r="L13" s="59">
        <v>24</v>
      </c>
      <c r="M13" s="59">
        <v>23</v>
      </c>
    </row>
    <row r="14" spans="1:14" ht="15" customHeight="1" thickBot="1">
      <c r="A14" t="s">
        <v>1807</v>
      </c>
      <c r="B14" s="84" t="s">
        <v>62</v>
      </c>
      <c r="C14" s="89">
        <v>25</v>
      </c>
      <c r="D14" s="59">
        <v>23</v>
      </c>
      <c r="E14" s="59">
        <v>21</v>
      </c>
      <c r="F14" s="59">
        <v>23</v>
      </c>
      <c r="G14" s="59">
        <v>23</v>
      </c>
      <c r="H14" s="59">
        <v>17</v>
      </c>
      <c r="I14" s="59">
        <v>14</v>
      </c>
      <c r="J14" s="59">
        <v>13</v>
      </c>
      <c r="K14" s="59">
        <v>12</v>
      </c>
      <c r="L14" s="59">
        <v>14</v>
      </c>
      <c r="M14" s="59">
        <v>16</v>
      </c>
    </row>
    <row r="15" spans="1:14" ht="15" customHeight="1" thickBot="1">
      <c r="A15" t="s">
        <v>1808</v>
      </c>
      <c r="B15" s="84" t="s">
        <v>63</v>
      </c>
      <c r="C15" s="89">
        <v>16</v>
      </c>
      <c r="D15" s="59">
        <v>16</v>
      </c>
      <c r="E15" s="59">
        <v>15</v>
      </c>
      <c r="F15" s="59">
        <v>19</v>
      </c>
      <c r="G15" s="59">
        <v>15</v>
      </c>
      <c r="H15" s="59">
        <v>15</v>
      </c>
      <c r="I15" s="59">
        <v>15</v>
      </c>
      <c r="J15" s="59">
        <v>19</v>
      </c>
      <c r="K15" s="59">
        <v>19</v>
      </c>
      <c r="L15" s="59">
        <v>20</v>
      </c>
      <c r="M15" s="59">
        <v>18</v>
      </c>
    </row>
    <row r="16" spans="1:14" ht="15" customHeight="1" thickBot="1">
      <c r="A16" t="s">
        <v>1809</v>
      </c>
      <c r="B16" s="49" t="s">
        <v>64</v>
      </c>
      <c r="C16" s="69">
        <v>105</v>
      </c>
      <c r="D16" s="60">
        <v>103</v>
      </c>
      <c r="E16" s="60">
        <v>109</v>
      </c>
      <c r="F16" s="60">
        <v>109</v>
      </c>
      <c r="G16" s="60">
        <v>109</v>
      </c>
      <c r="H16" s="60">
        <v>75</v>
      </c>
      <c r="I16" s="60">
        <v>73</v>
      </c>
      <c r="J16" s="60">
        <v>71</v>
      </c>
      <c r="K16" s="60">
        <v>71</v>
      </c>
      <c r="L16" s="60">
        <v>66</v>
      </c>
      <c r="M16" s="60">
        <v>57</v>
      </c>
    </row>
    <row r="17" spans="1:13" ht="15" customHeight="1" thickBot="1">
      <c r="A17" t="s">
        <v>1810</v>
      </c>
      <c r="B17" s="49" t="s">
        <v>65</v>
      </c>
      <c r="C17" s="69">
        <v>35</v>
      </c>
      <c r="D17" s="60">
        <v>38</v>
      </c>
      <c r="E17" s="60">
        <v>35</v>
      </c>
      <c r="F17" s="60">
        <v>37</v>
      </c>
      <c r="G17" s="60">
        <v>33</v>
      </c>
      <c r="H17" s="60">
        <v>86</v>
      </c>
      <c r="I17" s="60">
        <v>89</v>
      </c>
      <c r="J17" s="60">
        <v>86</v>
      </c>
      <c r="K17" s="60">
        <v>99</v>
      </c>
      <c r="L17" s="60">
        <v>114</v>
      </c>
      <c r="M17" s="60">
        <v>118</v>
      </c>
    </row>
    <row r="18" spans="1:13" ht="15" customHeight="1" thickBot="1">
      <c r="B18" s="49"/>
      <c r="C18" s="60"/>
      <c r="D18" s="60"/>
      <c r="E18" s="60"/>
      <c r="F18" s="60"/>
      <c r="G18" s="60"/>
      <c r="H18" s="60"/>
      <c r="I18" s="59"/>
      <c r="J18" s="59"/>
      <c r="K18" s="59"/>
      <c r="L18" s="59"/>
      <c r="M18" s="59"/>
    </row>
    <row r="19" spans="1:13" ht="15" customHeight="1" thickBot="1">
      <c r="A19" t="s">
        <v>1792</v>
      </c>
      <c r="B19" s="61" t="s">
        <v>66</v>
      </c>
      <c r="C19" s="69">
        <v>496</v>
      </c>
      <c r="D19" s="60">
        <v>507</v>
      </c>
      <c r="E19" s="60">
        <v>509</v>
      </c>
      <c r="F19" s="60">
        <v>516</v>
      </c>
      <c r="G19" s="60">
        <v>508</v>
      </c>
      <c r="H19" s="60">
        <v>660</v>
      </c>
      <c r="I19" s="60">
        <v>719</v>
      </c>
      <c r="J19" s="60">
        <v>728</v>
      </c>
      <c r="K19" s="60">
        <v>756</v>
      </c>
      <c r="L19" s="60">
        <v>782</v>
      </c>
      <c r="M19" s="60">
        <v>780</v>
      </c>
    </row>
    <row r="20" spans="1:13" ht="15" customHeight="1" thickBot="1">
      <c r="A20" t="s">
        <v>1793</v>
      </c>
      <c r="B20" s="61" t="s">
        <v>67</v>
      </c>
      <c r="C20" s="69">
        <v>44</v>
      </c>
      <c r="D20" s="60">
        <v>56</v>
      </c>
      <c r="E20" s="60">
        <v>43</v>
      </c>
      <c r="F20" s="60">
        <v>89</v>
      </c>
      <c r="G20" s="60">
        <v>95</v>
      </c>
      <c r="H20" s="60">
        <v>94</v>
      </c>
      <c r="I20" s="60">
        <v>111</v>
      </c>
      <c r="J20" s="60">
        <v>120</v>
      </c>
      <c r="K20" s="60">
        <v>99</v>
      </c>
      <c r="L20" s="60">
        <v>106</v>
      </c>
      <c r="M20" s="60">
        <v>85</v>
      </c>
    </row>
    <row r="21" spans="1:13" ht="15" customHeight="1" thickBot="1">
      <c r="A21" t="s">
        <v>1794</v>
      </c>
      <c r="B21" s="49" t="s">
        <v>53</v>
      </c>
      <c r="C21" s="69">
        <v>119</v>
      </c>
      <c r="D21" s="60">
        <v>114</v>
      </c>
      <c r="E21" s="60">
        <v>105</v>
      </c>
      <c r="F21" s="60">
        <v>56</v>
      </c>
      <c r="G21" s="60">
        <v>51</v>
      </c>
      <c r="H21" s="60">
        <v>39</v>
      </c>
      <c r="I21" s="60">
        <v>43</v>
      </c>
      <c r="J21" s="60">
        <v>36</v>
      </c>
      <c r="K21" s="60">
        <v>35</v>
      </c>
      <c r="L21" s="60">
        <v>30</v>
      </c>
      <c r="M21" s="60">
        <v>28</v>
      </c>
    </row>
    <row r="22" spans="1:13" ht="15" customHeight="1" thickBot="1">
      <c r="A22" t="s">
        <v>1795</v>
      </c>
      <c r="B22" s="49" t="s">
        <v>60</v>
      </c>
      <c r="C22" s="69">
        <v>78</v>
      </c>
      <c r="D22" s="60">
        <v>83</v>
      </c>
      <c r="E22" s="60">
        <v>82</v>
      </c>
      <c r="F22" s="60">
        <v>86</v>
      </c>
      <c r="G22" s="60">
        <v>94</v>
      </c>
      <c r="H22" s="60">
        <v>101</v>
      </c>
      <c r="I22" s="60">
        <v>114</v>
      </c>
      <c r="J22" s="60">
        <v>114</v>
      </c>
      <c r="K22" s="60">
        <v>115</v>
      </c>
      <c r="L22" s="60">
        <v>115</v>
      </c>
      <c r="M22" s="60">
        <v>109</v>
      </c>
    </row>
    <row r="23" spans="1:13" ht="15" customHeight="1" thickBot="1">
      <c r="A23" t="s">
        <v>1796</v>
      </c>
      <c r="B23" s="49" t="s">
        <v>61</v>
      </c>
      <c r="C23" s="69">
        <v>230</v>
      </c>
      <c r="D23" s="60">
        <v>225</v>
      </c>
      <c r="E23" s="60">
        <v>244</v>
      </c>
      <c r="F23" s="60">
        <v>246</v>
      </c>
      <c r="G23" s="60">
        <v>234</v>
      </c>
      <c r="H23" s="60">
        <v>412</v>
      </c>
      <c r="I23" s="60">
        <v>436</v>
      </c>
      <c r="J23" s="60">
        <v>446</v>
      </c>
      <c r="K23" s="60">
        <v>495</v>
      </c>
      <c r="L23" s="60">
        <v>525</v>
      </c>
      <c r="M23" s="60">
        <v>554</v>
      </c>
    </row>
    <row r="24" spans="1:13" ht="15" customHeight="1" thickBot="1">
      <c r="A24" t="s">
        <v>1797</v>
      </c>
      <c r="B24" s="84" t="s">
        <v>68</v>
      </c>
      <c r="C24" s="89">
        <v>225</v>
      </c>
      <c r="D24" s="59">
        <v>220</v>
      </c>
      <c r="E24" s="59">
        <v>239</v>
      </c>
      <c r="F24" s="59">
        <v>239</v>
      </c>
      <c r="G24" s="59">
        <v>226</v>
      </c>
      <c r="H24" s="59">
        <v>239</v>
      </c>
      <c r="I24" s="59">
        <v>252</v>
      </c>
      <c r="J24" s="59">
        <v>261</v>
      </c>
      <c r="K24" s="59">
        <v>264</v>
      </c>
      <c r="L24" s="59">
        <v>259</v>
      </c>
      <c r="M24" s="59">
        <v>267</v>
      </c>
    </row>
    <row r="25" spans="1:13" ht="15" customHeight="1" thickBot="1">
      <c r="A25" t="s">
        <v>1798</v>
      </c>
      <c r="B25" s="84" t="s">
        <v>69</v>
      </c>
      <c r="C25" s="89">
        <v>5</v>
      </c>
      <c r="D25" s="59">
        <v>5</v>
      </c>
      <c r="E25" s="59">
        <v>5</v>
      </c>
      <c r="F25" s="59">
        <v>7</v>
      </c>
      <c r="G25" s="59">
        <v>8</v>
      </c>
      <c r="H25" s="59">
        <v>172</v>
      </c>
      <c r="I25" s="59">
        <v>184</v>
      </c>
      <c r="J25" s="59">
        <v>186</v>
      </c>
      <c r="K25" s="59">
        <v>232</v>
      </c>
      <c r="L25" s="59">
        <v>265</v>
      </c>
      <c r="M25" s="59">
        <v>287</v>
      </c>
    </row>
    <row r="26" spans="1:13" ht="15" customHeight="1" thickBot="1">
      <c r="A26" t="s">
        <v>1799</v>
      </c>
      <c r="B26" s="49" t="s">
        <v>64</v>
      </c>
      <c r="C26" s="69">
        <v>25</v>
      </c>
      <c r="D26" s="60">
        <v>29</v>
      </c>
      <c r="E26" s="60">
        <v>35</v>
      </c>
      <c r="F26" s="60">
        <v>36</v>
      </c>
      <c r="G26" s="60">
        <v>34</v>
      </c>
      <c r="H26" s="60">
        <v>13</v>
      </c>
      <c r="I26" s="59">
        <v>14</v>
      </c>
      <c r="J26" s="59">
        <v>12</v>
      </c>
      <c r="K26" s="60">
        <v>10</v>
      </c>
      <c r="L26" s="60">
        <v>7</v>
      </c>
      <c r="M26" s="60">
        <v>5</v>
      </c>
    </row>
    <row r="27" spans="1:13" ht="16.5" customHeight="1">
      <c r="B27" s="154"/>
      <c r="C27" s="90"/>
      <c r="D27" s="1122"/>
      <c r="E27" s="90"/>
      <c r="F27" s="90"/>
      <c r="G27" s="90"/>
      <c r="H27" s="90"/>
      <c r="I27" s="90"/>
      <c r="J27" s="90"/>
      <c r="K27" s="91"/>
      <c r="L27" s="91"/>
    </row>
    <row r="28" spans="1:13" ht="15" customHeight="1"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</row>
    <row r="29" spans="1:13" ht="15" customHeight="1">
      <c r="B29" s="83" t="s">
        <v>70</v>
      </c>
      <c r="C29" s="93"/>
      <c r="D29" s="93"/>
      <c r="E29" s="93"/>
      <c r="F29" s="93"/>
      <c r="G29" s="93"/>
      <c r="H29" s="93"/>
      <c r="I29" s="93"/>
      <c r="J29" s="93"/>
      <c r="K29" s="93"/>
      <c r="L29" s="93"/>
    </row>
    <row r="30" spans="1:13" ht="15" customHeight="1">
      <c r="B30" s="93" t="s">
        <v>46</v>
      </c>
      <c r="C30" s="93"/>
      <c r="D30" s="93"/>
      <c r="E30" s="93"/>
      <c r="F30" s="93"/>
      <c r="G30" s="93"/>
      <c r="H30" s="93"/>
      <c r="I30" s="93"/>
      <c r="J30" s="93"/>
      <c r="K30" s="93"/>
      <c r="L30" s="93"/>
    </row>
    <row r="31" spans="1:13" ht="15" customHeight="1">
      <c r="B31" s="6"/>
      <c r="C31" s="115">
        <v>2024</v>
      </c>
      <c r="D31" s="115">
        <v>2023</v>
      </c>
      <c r="E31" s="107">
        <v>2022</v>
      </c>
      <c r="F31" s="107">
        <v>2021</v>
      </c>
      <c r="G31" s="107">
        <v>2020</v>
      </c>
      <c r="H31" s="107">
        <v>2019</v>
      </c>
      <c r="I31" s="107">
        <v>2018</v>
      </c>
      <c r="J31" s="107">
        <v>2017</v>
      </c>
      <c r="K31" s="107">
        <v>2016</v>
      </c>
      <c r="L31" s="107">
        <v>2015</v>
      </c>
      <c r="M31" s="107">
        <v>2014</v>
      </c>
    </row>
    <row r="32" spans="1:13" ht="15" customHeight="1" thickBot="1">
      <c r="A32" s="1067" t="s">
        <v>1814</v>
      </c>
      <c r="B32" s="61" t="s">
        <v>66</v>
      </c>
      <c r="C32" s="1144">
        <v>5428</v>
      </c>
      <c r="D32" s="1207">
        <v>5325</v>
      </c>
      <c r="E32" s="45">
        <v>5400</v>
      </c>
      <c r="F32" s="45">
        <v>5553</v>
      </c>
      <c r="G32" s="45">
        <v>5290</v>
      </c>
      <c r="H32" s="45">
        <v>5310</v>
      </c>
      <c r="I32" s="45">
        <v>5314</v>
      </c>
      <c r="J32" s="45">
        <v>5314</v>
      </c>
      <c r="K32" s="45">
        <v>5316</v>
      </c>
      <c r="L32" s="45">
        <v>5264</v>
      </c>
      <c r="M32" s="45">
        <v>5032</v>
      </c>
    </row>
    <row r="33" spans="1:13" ht="21" customHeight="1" thickBot="1">
      <c r="A33" s="1067" t="s">
        <v>1813</v>
      </c>
      <c r="B33" s="61" t="s">
        <v>344</v>
      </c>
      <c r="C33" s="1144">
        <v>2446</v>
      </c>
      <c r="D33" s="1207">
        <v>2475</v>
      </c>
      <c r="E33" s="45">
        <v>2277</v>
      </c>
      <c r="F33" s="45">
        <v>2295</v>
      </c>
      <c r="G33" s="45">
        <v>2130</v>
      </c>
      <c r="H33" s="45">
        <v>4092</v>
      </c>
      <c r="I33" s="45">
        <v>4179</v>
      </c>
      <c r="J33" s="45">
        <v>4190</v>
      </c>
      <c r="K33" s="45">
        <v>4024</v>
      </c>
      <c r="L33" s="45">
        <v>4053</v>
      </c>
      <c r="M33" s="45">
        <v>3832</v>
      </c>
    </row>
    <row r="34" spans="1:13" ht="15" customHeight="1" thickBot="1">
      <c r="A34" s="1067" t="s">
        <v>1811</v>
      </c>
      <c r="B34" s="84" t="s">
        <v>71</v>
      </c>
      <c r="C34" s="1143">
        <v>55</v>
      </c>
      <c r="D34" s="1140">
        <v>59</v>
      </c>
      <c r="E34" s="59">
        <v>58</v>
      </c>
      <c r="F34" s="59">
        <v>53</v>
      </c>
      <c r="G34" s="59">
        <v>58</v>
      </c>
      <c r="H34" s="59">
        <v>62</v>
      </c>
      <c r="I34" s="59">
        <v>71</v>
      </c>
      <c r="J34" s="59">
        <v>68</v>
      </c>
      <c r="K34" s="59">
        <v>77</v>
      </c>
      <c r="L34" s="59">
        <v>79</v>
      </c>
      <c r="M34" s="59">
        <v>95</v>
      </c>
    </row>
    <row r="35" spans="1:13" ht="15" customHeight="1" thickBot="1">
      <c r="A35" s="1067" t="s">
        <v>1812</v>
      </c>
      <c r="B35" s="84" t="s">
        <v>72</v>
      </c>
      <c r="C35" s="1143">
        <v>823</v>
      </c>
      <c r="D35" s="1140">
        <v>870</v>
      </c>
      <c r="E35" s="59">
        <v>905</v>
      </c>
      <c r="F35" s="59">
        <v>964</v>
      </c>
      <c r="G35" s="59">
        <v>831</v>
      </c>
      <c r="H35" s="59">
        <v>596</v>
      </c>
      <c r="I35" s="59">
        <v>557</v>
      </c>
      <c r="J35" s="59">
        <v>510</v>
      </c>
      <c r="K35" s="59">
        <v>470</v>
      </c>
      <c r="L35" s="59">
        <v>474</v>
      </c>
      <c r="M35" s="59">
        <v>439</v>
      </c>
    </row>
    <row r="36" spans="1:13" ht="15" customHeight="1" thickBot="1">
      <c r="A36" s="1067" t="s">
        <v>1815</v>
      </c>
      <c r="B36" s="84" t="s">
        <v>73</v>
      </c>
      <c r="C36" s="1143">
        <v>1568</v>
      </c>
      <c r="D36" s="1140">
        <v>1546</v>
      </c>
      <c r="E36" s="46">
        <v>1313</v>
      </c>
      <c r="F36" s="46">
        <v>1278</v>
      </c>
      <c r="G36" s="46">
        <v>1238</v>
      </c>
      <c r="H36" s="46">
        <v>3434</v>
      </c>
      <c r="I36" s="46">
        <v>3552</v>
      </c>
      <c r="J36" s="46">
        <v>3612</v>
      </c>
      <c r="K36" s="46">
        <v>3478</v>
      </c>
      <c r="L36" s="46">
        <v>3500</v>
      </c>
      <c r="M36" s="46">
        <v>3298</v>
      </c>
    </row>
    <row r="37" spans="1:13" ht="15" customHeight="1" thickBot="1">
      <c r="A37" s="1067" t="s">
        <v>1816</v>
      </c>
      <c r="B37" s="61" t="s">
        <v>74</v>
      </c>
      <c r="C37" s="1144">
        <v>692</v>
      </c>
      <c r="D37" s="1207">
        <v>552</v>
      </c>
      <c r="E37" s="60">
        <v>580</v>
      </c>
      <c r="F37" s="60">
        <v>488</v>
      </c>
      <c r="G37" s="60">
        <v>802</v>
      </c>
      <c r="H37" s="60">
        <v>643</v>
      </c>
      <c r="I37" s="60">
        <v>604</v>
      </c>
      <c r="J37" s="60">
        <v>594</v>
      </c>
      <c r="K37" s="60">
        <v>663</v>
      </c>
      <c r="L37" s="60">
        <v>530</v>
      </c>
      <c r="M37" s="60">
        <v>541</v>
      </c>
    </row>
    <row r="38" spans="1:13" ht="15" customHeight="1" thickBot="1">
      <c r="A38" s="1067" t="s">
        <v>1817</v>
      </c>
      <c r="B38" s="61" t="s">
        <v>334</v>
      </c>
      <c r="C38" s="1144">
        <v>2290</v>
      </c>
      <c r="D38" s="1207">
        <v>2297</v>
      </c>
      <c r="E38" s="96">
        <v>2544</v>
      </c>
      <c r="F38" s="96">
        <v>2770</v>
      </c>
      <c r="G38" s="96">
        <v>2357</v>
      </c>
      <c r="H38" s="96">
        <v>576</v>
      </c>
      <c r="I38" s="96">
        <v>531</v>
      </c>
      <c r="J38" s="96">
        <v>530</v>
      </c>
      <c r="K38" s="96">
        <v>629</v>
      </c>
      <c r="L38" s="96">
        <v>681</v>
      </c>
      <c r="M38" s="96">
        <v>659</v>
      </c>
    </row>
    <row r="39" spans="1:13" ht="15" customHeight="1" thickBot="1">
      <c r="A39" s="1067" t="s">
        <v>1818</v>
      </c>
      <c r="B39" s="61" t="s">
        <v>75</v>
      </c>
      <c r="C39" s="1144">
        <v>118</v>
      </c>
      <c r="D39" s="1207">
        <v>109</v>
      </c>
      <c r="E39" s="60">
        <v>104</v>
      </c>
      <c r="F39" s="60">
        <v>93</v>
      </c>
      <c r="G39" s="60">
        <v>94</v>
      </c>
      <c r="H39" s="60">
        <v>97</v>
      </c>
      <c r="I39" s="60">
        <v>96</v>
      </c>
      <c r="J39" s="60">
        <v>90</v>
      </c>
      <c r="K39" s="60">
        <v>93</v>
      </c>
      <c r="L39" s="60">
        <v>96</v>
      </c>
      <c r="M39" s="60">
        <v>97</v>
      </c>
    </row>
    <row r="40" spans="1:13">
      <c r="B40" s="193" t="s">
        <v>2420</v>
      </c>
      <c r="C40" s="1286"/>
    </row>
    <row r="41" spans="1:13">
      <c r="D41" s="16"/>
      <c r="E41" s="16"/>
      <c r="F41" s="16"/>
      <c r="G41" s="16"/>
      <c r="H41" s="16"/>
      <c r="I41" s="16"/>
      <c r="J41" s="16"/>
    </row>
    <row r="42" spans="1:13">
      <c r="A42" s="1041"/>
      <c r="B42" s="1042"/>
      <c r="C42" s="1041"/>
      <c r="D42" s="1041"/>
      <c r="E42" s="1041"/>
      <c r="F42" s="1041"/>
      <c r="G42" s="1041"/>
      <c r="H42" s="1041"/>
      <c r="I42" s="1041"/>
      <c r="J42" s="1041"/>
      <c r="K42" s="1041"/>
    </row>
    <row r="43" spans="1:13" ht="15.6">
      <c r="B43" s="83" t="s">
        <v>76</v>
      </c>
    </row>
    <row r="44" spans="1:13" ht="17.100000000000001" customHeight="1">
      <c r="B44" s="93" t="s">
        <v>77</v>
      </c>
    </row>
    <row r="45" spans="1:13" ht="17.100000000000001" customHeight="1">
      <c r="B45" s="107"/>
      <c r="C45" s="107">
        <v>2024</v>
      </c>
      <c r="D45" s="107">
        <v>2023</v>
      </c>
      <c r="E45" s="107">
        <v>2022</v>
      </c>
      <c r="F45" s="107">
        <v>2021</v>
      </c>
      <c r="G45" s="107">
        <v>2020</v>
      </c>
      <c r="H45" s="107">
        <v>2019</v>
      </c>
      <c r="I45" s="107">
        <v>2018</v>
      </c>
      <c r="J45" s="107">
        <v>2017</v>
      </c>
      <c r="K45" s="107">
        <v>2016</v>
      </c>
      <c r="L45" s="107">
        <v>2015</v>
      </c>
      <c r="M45" s="107">
        <v>2014</v>
      </c>
    </row>
    <row r="46" spans="1:13" ht="24" customHeight="1" thickBot="1">
      <c r="B46" s="119" t="s">
        <v>328</v>
      </c>
      <c r="C46" s="1206"/>
      <c r="D46" s="1342"/>
      <c r="E46" s="94"/>
      <c r="F46" s="94"/>
      <c r="G46" s="94"/>
      <c r="H46" s="94"/>
      <c r="I46" s="103"/>
      <c r="J46" s="103"/>
      <c r="K46" s="103"/>
      <c r="L46" s="103"/>
      <c r="M46" s="103"/>
    </row>
    <row r="47" spans="1:13" ht="17.100000000000001" customHeight="1" thickBot="1">
      <c r="A47" s="1067" t="s">
        <v>1821</v>
      </c>
      <c r="B47" s="106" t="s">
        <v>78</v>
      </c>
      <c r="C47" s="1355">
        <v>340</v>
      </c>
      <c r="D47" s="1458">
        <v>302</v>
      </c>
      <c r="E47" s="104">
        <v>317</v>
      </c>
      <c r="F47" s="104">
        <v>310</v>
      </c>
      <c r="G47" s="104">
        <v>309</v>
      </c>
      <c r="H47" s="104">
        <v>287</v>
      </c>
      <c r="I47" s="105">
        <v>304</v>
      </c>
      <c r="J47" s="105">
        <v>299</v>
      </c>
      <c r="K47" s="105">
        <v>318</v>
      </c>
      <c r="L47" s="106">
        <v>341</v>
      </c>
      <c r="M47" s="106">
        <v>352</v>
      </c>
    </row>
    <row r="48" spans="1:13" ht="17.100000000000001" customHeight="1" thickBot="1">
      <c r="B48" s="118" t="s">
        <v>51</v>
      </c>
      <c r="C48" s="1206"/>
      <c r="D48" s="1342"/>
      <c r="E48" s="94"/>
      <c r="F48" s="94"/>
      <c r="G48" s="94"/>
      <c r="H48" s="94"/>
      <c r="I48" s="106"/>
      <c r="J48" s="106"/>
      <c r="K48" s="106"/>
      <c r="L48" s="117"/>
      <c r="M48" s="117"/>
    </row>
    <row r="49" spans="1:13" ht="15" thickBot="1">
      <c r="A49" s="1067" t="s">
        <v>1819</v>
      </c>
      <c r="B49" s="106" t="s">
        <v>78</v>
      </c>
      <c r="C49" s="1355">
        <v>321</v>
      </c>
      <c r="D49" s="1458">
        <v>321</v>
      </c>
      <c r="E49" s="104">
        <v>317</v>
      </c>
      <c r="F49" s="104">
        <v>304</v>
      </c>
      <c r="G49" s="104">
        <v>301</v>
      </c>
      <c r="H49" s="104">
        <v>337</v>
      </c>
      <c r="I49" s="117">
        <v>349</v>
      </c>
      <c r="J49" s="117">
        <v>341</v>
      </c>
      <c r="K49" s="117">
        <v>377</v>
      </c>
      <c r="L49" s="106">
        <v>396</v>
      </c>
      <c r="M49" s="106">
        <v>408</v>
      </c>
    </row>
    <row r="50" spans="1:13" ht="19.5" customHeight="1">
      <c r="A50" s="1067" t="s">
        <v>1820</v>
      </c>
      <c r="B50" s="129" t="s">
        <v>70</v>
      </c>
      <c r="C50" s="1262">
        <v>699</v>
      </c>
      <c r="D50" s="1381">
        <v>699</v>
      </c>
      <c r="E50" s="57">
        <v>719</v>
      </c>
      <c r="F50" s="57">
        <v>807</v>
      </c>
      <c r="G50" s="57">
        <v>783</v>
      </c>
      <c r="H50" s="57">
        <v>760</v>
      </c>
      <c r="I50" s="129">
        <v>759</v>
      </c>
      <c r="J50" s="129">
        <v>728</v>
      </c>
      <c r="K50" s="129">
        <v>745</v>
      </c>
      <c r="L50" s="129">
        <v>722</v>
      </c>
      <c r="M50" s="129">
        <v>707</v>
      </c>
    </row>
    <row r="51" spans="1:13">
      <c r="B51" s="116" t="s">
        <v>52</v>
      </c>
      <c r="C51" s="1206">
        <v>1360</v>
      </c>
      <c r="D51" s="1206">
        <v>1322</v>
      </c>
      <c r="E51" s="48">
        <v>1353</v>
      </c>
      <c r="F51" s="48">
        <v>1421</v>
      </c>
      <c r="G51" s="48">
        <v>1393</v>
      </c>
      <c r="H51" s="48">
        <v>1384</v>
      </c>
      <c r="I51" s="48">
        <v>1412</v>
      </c>
      <c r="J51" s="48">
        <v>1368</v>
      </c>
      <c r="K51" s="48">
        <v>1440</v>
      </c>
      <c r="L51" s="48">
        <v>1459</v>
      </c>
      <c r="M51" s="48">
        <v>1467</v>
      </c>
    </row>
    <row r="52" spans="1:13">
      <c r="B52" s="193" t="s">
        <v>2420</v>
      </c>
    </row>
  </sheetData>
  <hyperlinks>
    <hyperlink ref="B40" r:id="rId1" location="figures" display="Source: Statistics Belgium, Landbouwcijfers 2022, Tab A" xr:uid="{00000000-0004-0000-0300-000000000000}"/>
    <hyperlink ref="B52" r:id="rId2" location="figures" display="Source: Statistics Belgium, Landbouwcijfers 2022, Tab A" xr:uid="{00000000-0004-0000-0300-000001000000}"/>
  </hyperlinks>
  <pageMargins left="0.7" right="0.7" top="0.78740157499999996" bottom="0.78740157499999996" header="0.3" footer="0.3"/>
  <pageSetup paperSize="9" orientation="portrait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R87"/>
  <sheetViews>
    <sheetView showGridLines="0" zoomScale="89" zoomScaleNormal="89" workbookViewId="0">
      <selection activeCell="J13" sqref="J13"/>
    </sheetView>
  </sheetViews>
  <sheetFormatPr defaultColWidth="11.44140625" defaultRowHeight="14.4"/>
  <cols>
    <col min="2" max="2" width="22" customWidth="1"/>
    <col min="3" max="7" width="7" customWidth="1"/>
    <col min="8" max="14" width="6.6640625" customWidth="1"/>
  </cols>
  <sheetData>
    <row r="1" spans="2:14" ht="15.6">
      <c r="B1" s="83"/>
      <c r="C1" s="83"/>
      <c r="D1" s="83"/>
      <c r="E1" s="83"/>
    </row>
    <row r="2" spans="2:14" ht="15.6">
      <c r="B2" s="83" t="s">
        <v>79</v>
      </c>
      <c r="C2" s="83"/>
      <c r="D2" s="1264" t="s">
        <v>1926</v>
      </c>
      <c r="E2" s="1264"/>
      <c r="N2" s="83"/>
    </row>
    <row r="3" spans="2:14" ht="15.6">
      <c r="B3" s="83"/>
      <c r="C3" s="83"/>
      <c r="D3" s="83"/>
      <c r="E3" s="83"/>
    </row>
    <row r="4" spans="2:14" ht="15.6">
      <c r="B4" s="83" t="s">
        <v>56</v>
      </c>
    </row>
    <row r="5" spans="2:14">
      <c r="B5" s="5" t="s">
        <v>46</v>
      </c>
      <c r="C5" s="93"/>
      <c r="D5" s="93"/>
      <c r="E5" s="93"/>
    </row>
    <row r="6" spans="2:14" ht="15" customHeight="1">
      <c r="B6" s="194"/>
      <c r="C6" s="115">
        <v>2022</v>
      </c>
      <c r="D6" s="115">
        <v>2021</v>
      </c>
      <c r="E6" s="115">
        <v>2020</v>
      </c>
      <c r="F6" s="115">
        <v>2014</v>
      </c>
      <c r="G6" s="115">
        <v>2013</v>
      </c>
      <c r="H6" s="115">
        <v>2012</v>
      </c>
    </row>
    <row r="7" spans="2:14" ht="15" customHeight="1" thickBot="1">
      <c r="B7" s="84" t="s">
        <v>82</v>
      </c>
      <c r="C7" s="146">
        <v>9360</v>
      </c>
      <c r="D7" s="984">
        <v>9360</v>
      </c>
      <c r="E7" s="984">
        <v>9360</v>
      </c>
      <c r="F7" s="59">
        <v>6850</v>
      </c>
      <c r="G7" s="59">
        <v>6720</v>
      </c>
      <c r="H7" s="60"/>
    </row>
    <row r="8" spans="2:14" ht="15" customHeight="1" thickBot="1">
      <c r="B8" s="84" t="s">
        <v>84</v>
      </c>
      <c r="C8" s="89"/>
      <c r="D8" s="59"/>
      <c r="E8" s="59"/>
      <c r="F8" s="59">
        <v>998</v>
      </c>
      <c r="G8" s="59">
        <v>980</v>
      </c>
      <c r="H8" s="60"/>
    </row>
    <row r="9" spans="2:14" ht="15" customHeight="1" thickBot="1">
      <c r="B9" s="84" t="s">
        <v>86</v>
      </c>
      <c r="C9" s="89"/>
      <c r="D9" s="59"/>
      <c r="E9" s="59"/>
      <c r="F9" s="59">
        <v>1360</v>
      </c>
      <c r="G9" s="59">
        <v>912</v>
      </c>
      <c r="H9" s="60"/>
    </row>
    <row r="10" spans="2:14" ht="15" customHeight="1" thickBot="1">
      <c r="B10" s="84" t="s">
        <v>88</v>
      </c>
      <c r="C10" s="89"/>
      <c r="D10" s="59"/>
      <c r="E10" s="59"/>
      <c r="F10" s="59">
        <v>856</v>
      </c>
      <c r="G10" s="59">
        <v>840</v>
      </c>
      <c r="H10" s="60"/>
    </row>
    <row r="11" spans="2:14" ht="15" customHeight="1" thickBot="1">
      <c r="B11" s="84" t="s">
        <v>90</v>
      </c>
      <c r="C11" s="89"/>
      <c r="D11" s="59"/>
      <c r="E11" s="59"/>
      <c r="F11" s="59">
        <v>486</v>
      </c>
      <c r="G11" s="59">
        <v>476</v>
      </c>
      <c r="H11" s="60"/>
    </row>
    <row r="12" spans="2:14" ht="15" customHeight="1" thickBot="1">
      <c r="B12" s="84" t="s">
        <v>346</v>
      </c>
      <c r="C12" s="89"/>
      <c r="D12" s="59"/>
      <c r="E12" s="59"/>
      <c r="F12" s="59">
        <v>645</v>
      </c>
      <c r="G12" s="59">
        <v>405</v>
      </c>
      <c r="H12" s="60"/>
    </row>
    <row r="13" spans="2:14" ht="15" customHeight="1" thickBot="1">
      <c r="B13" s="84" t="s">
        <v>91</v>
      </c>
      <c r="C13" s="89"/>
      <c r="D13" s="59"/>
      <c r="E13" s="59"/>
      <c r="F13" s="59">
        <v>356</v>
      </c>
      <c r="G13" s="59">
        <v>349</v>
      </c>
      <c r="H13" s="60"/>
    </row>
    <row r="14" spans="2:14" ht="15" customHeight="1" thickBot="1">
      <c r="B14" s="84" t="s">
        <v>92</v>
      </c>
      <c r="C14" s="89"/>
      <c r="D14" s="59"/>
      <c r="E14" s="59"/>
      <c r="F14" s="59">
        <v>332</v>
      </c>
      <c r="G14" s="59">
        <v>326</v>
      </c>
      <c r="H14" s="60"/>
    </row>
    <row r="15" spans="2:14" ht="15" customHeight="1" thickBot="1">
      <c r="B15" s="84" t="s">
        <v>93</v>
      </c>
      <c r="C15" s="89"/>
      <c r="D15" s="59"/>
      <c r="E15" s="59"/>
      <c r="F15" s="59">
        <v>320</v>
      </c>
      <c r="G15" s="59">
        <v>314</v>
      </c>
      <c r="H15" s="60"/>
    </row>
    <row r="16" spans="2:14" ht="15" customHeight="1" thickBot="1">
      <c r="B16" s="84" t="s">
        <v>94</v>
      </c>
      <c r="C16" s="89"/>
      <c r="D16" s="59"/>
      <c r="E16" s="59"/>
      <c r="F16" s="59">
        <v>338</v>
      </c>
      <c r="G16" s="59">
        <v>312</v>
      </c>
      <c r="H16" s="60"/>
    </row>
    <row r="17" spans="2:18" ht="15" customHeight="1" thickBot="1">
      <c r="B17" s="84" t="s">
        <v>95</v>
      </c>
      <c r="C17" s="89"/>
      <c r="D17" s="59"/>
      <c r="E17" s="59"/>
      <c r="F17" s="59">
        <v>275</v>
      </c>
      <c r="G17" s="59">
        <v>270</v>
      </c>
      <c r="H17" s="60"/>
      <c r="I17" s="155"/>
      <c r="J17" s="197"/>
      <c r="K17" s="197"/>
      <c r="L17" s="197"/>
      <c r="M17" s="197"/>
    </row>
    <row r="18" spans="2:18" ht="15" customHeight="1" thickBot="1">
      <c r="B18" s="84" t="s">
        <v>96</v>
      </c>
      <c r="C18" s="89"/>
      <c r="D18" s="59"/>
      <c r="E18" s="59"/>
      <c r="F18" s="59">
        <v>264</v>
      </c>
      <c r="G18" s="59">
        <v>259</v>
      </c>
      <c r="H18" s="60"/>
      <c r="P18" s="197"/>
      <c r="Q18" s="197"/>
      <c r="R18" s="197"/>
    </row>
    <row r="19" spans="2:18" ht="15" customHeight="1" thickBot="1">
      <c r="B19" s="84" t="s">
        <v>97</v>
      </c>
      <c r="C19" s="89"/>
      <c r="D19" s="59"/>
      <c r="E19" s="59"/>
      <c r="F19" s="59">
        <v>210</v>
      </c>
      <c r="G19" s="59">
        <v>206</v>
      </c>
      <c r="H19" s="60"/>
    </row>
    <row r="20" spans="2:18" ht="15" customHeight="1" thickBot="1">
      <c r="B20" s="84" t="s">
        <v>98</v>
      </c>
      <c r="C20" s="89"/>
      <c r="D20" s="59"/>
      <c r="E20" s="59"/>
      <c r="F20" s="59">
        <v>345</v>
      </c>
      <c r="G20" s="59">
        <v>188</v>
      </c>
      <c r="H20" s="60"/>
    </row>
    <row r="21" spans="2:18" ht="15" customHeight="1" thickBot="1">
      <c r="B21" s="84" t="s">
        <v>99</v>
      </c>
      <c r="C21" s="89"/>
      <c r="D21" s="59"/>
      <c r="E21" s="59"/>
      <c r="F21" s="59">
        <v>320</v>
      </c>
      <c r="G21" s="59">
        <v>181</v>
      </c>
      <c r="H21" s="60"/>
    </row>
    <row r="22" spans="2:18" ht="15" customHeight="1" thickBot="1">
      <c r="B22" s="84" t="s">
        <v>100</v>
      </c>
      <c r="C22" s="89"/>
      <c r="D22" s="59"/>
      <c r="E22" s="59"/>
      <c r="F22" s="59">
        <v>175</v>
      </c>
      <c r="G22" s="59">
        <v>171</v>
      </c>
      <c r="H22" s="60"/>
    </row>
    <row r="23" spans="2:18" ht="15" customHeight="1" thickBot="1">
      <c r="B23" s="84" t="s">
        <v>101</v>
      </c>
      <c r="C23" s="89"/>
      <c r="D23" s="59"/>
      <c r="E23" s="59"/>
      <c r="F23" s="59">
        <v>162</v>
      </c>
      <c r="G23" s="59">
        <v>158</v>
      </c>
      <c r="H23" s="60"/>
    </row>
    <row r="24" spans="2:18" ht="15" customHeight="1" thickBot="1">
      <c r="B24" s="84" t="s">
        <v>102</v>
      </c>
      <c r="C24" s="89"/>
      <c r="D24" s="59"/>
      <c r="E24" s="59"/>
      <c r="F24" s="59">
        <v>184</v>
      </c>
      <c r="G24" s="59">
        <v>135</v>
      </c>
      <c r="H24" s="60"/>
    </row>
    <row r="25" spans="2:18" ht="15" customHeight="1" thickBot="1">
      <c r="B25" s="84" t="s">
        <v>103</v>
      </c>
      <c r="C25" s="89"/>
      <c r="D25" s="59"/>
      <c r="E25" s="59"/>
      <c r="F25" s="59">
        <v>125</v>
      </c>
      <c r="G25" s="59">
        <v>123</v>
      </c>
      <c r="H25" s="60"/>
    </row>
    <row r="26" spans="2:18" ht="15" customHeight="1" thickBot="1">
      <c r="B26" s="84" t="s">
        <v>104</v>
      </c>
      <c r="C26" s="89"/>
      <c r="D26" s="59"/>
      <c r="E26" s="59"/>
      <c r="F26" s="59">
        <v>391</v>
      </c>
      <c r="G26" s="59">
        <v>445</v>
      </c>
      <c r="H26" s="60"/>
    </row>
    <row r="27" spans="2:18" ht="15" thickBot="1">
      <c r="B27" s="49" t="s">
        <v>89</v>
      </c>
      <c r="C27" s="216">
        <v>15600</v>
      </c>
      <c r="D27" s="45">
        <v>15600</v>
      </c>
      <c r="E27" s="45">
        <v>15600</v>
      </c>
      <c r="F27" s="45">
        <v>14992</v>
      </c>
      <c r="G27" s="45">
        <v>13770</v>
      </c>
      <c r="H27" s="45">
        <v>11800</v>
      </c>
    </row>
    <row r="28" spans="2:18">
      <c r="B28" s="87" t="s">
        <v>1843</v>
      </c>
      <c r="C28" s="16"/>
      <c r="D28" s="16"/>
      <c r="E28" s="16"/>
    </row>
    <row r="29" spans="2:18">
      <c r="F29" s="70"/>
    </row>
    <row r="30" spans="2:18">
      <c r="F30" s="70"/>
    </row>
    <row r="31" spans="2:18" ht="15.6">
      <c r="B31" s="83" t="s">
        <v>56</v>
      </c>
      <c r="D31" s="83"/>
      <c r="E31" s="83"/>
    </row>
    <row r="32" spans="2:18">
      <c r="B32" s="93" t="s">
        <v>46</v>
      </c>
      <c r="D32" s="93"/>
      <c r="E32" s="93"/>
    </row>
    <row r="33" spans="2:15">
      <c r="B33" s="194"/>
      <c r="C33" s="125" t="s">
        <v>1842</v>
      </c>
      <c r="D33" s="125" t="s">
        <v>1845</v>
      </c>
      <c r="E33" s="125" t="s">
        <v>497</v>
      </c>
      <c r="F33" s="125">
        <v>2019</v>
      </c>
      <c r="G33" s="125">
        <v>2014</v>
      </c>
      <c r="H33" s="125">
        <v>2013</v>
      </c>
      <c r="I33" s="125">
        <v>2012</v>
      </c>
    </row>
    <row r="34" spans="2:15" ht="15.75" customHeight="1" thickBot="1">
      <c r="B34" s="84" t="s">
        <v>80</v>
      </c>
      <c r="C34" s="222"/>
      <c r="D34" s="46"/>
      <c r="E34" s="46"/>
      <c r="F34" s="46"/>
      <c r="G34" s="46">
        <v>8561</v>
      </c>
      <c r="H34" s="46">
        <v>8171</v>
      </c>
      <c r="I34" s="45"/>
    </row>
    <row r="35" spans="2:15" ht="15" thickBot="1">
      <c r="B35" s="84" t="s">
        <v>81</v>
      </c>
      <c r="C35" s="222"/>
      <c r="D35" s="46"/>
      <c r="E35" s="46"/>
      <c r="F35" s="46"/>
      <c r="G35" s="46">
        <v>2714</v>
      </c>
      <c r="H35" s="46">
        <v>2241</v>
      </c>
      <c r="I35" s="45"/>
    </row>
    <row r="36" spans="2:15" ht="15" thickBot="1">
      <c r="B36" s="84" t="s">
        <v>83</v>
      </c>
      <c r="C36" s="222"/>
      <c r="D36" s="46"/>
      <c r="E36" s="46"/>
      <c r="F36" s="46"/>
      <c r="G36" s="46">
        <v>2027</v>
      </c>
      <c r="H36" s="46">
        <v>1772</v>
      </c>
      <c r="I36" s="45"/>
    </row>
    <row r="37" spans="2:15" ht="15" thickBot="1">
      <c r="B37" s="84" t="s">
        <v>85</v>
      </c>
      <c r="C37" s="222"/>
      <c r="D37" s="46"/>
      <c r="E37" s="46"/>
      <c r="F37" s="46"/>
      <c r="G37" s="46">
        <v>861</v>
      </c>
      <c r="H37" s="46">
        <v>815</v>
      </c>
      <c r="I37" s="45"/>
    </row>
    <row r="38" spans="2:15">
      <c r="B38" s="152" t="s">
        <v>87</v>
      </c>
      <c r="C38" s="120"/>
      <c r="D38" s="121"/>
      <c r="E38" s="121"/>
      <c r="F38" s="121"/>
      <c r="G38" s="121">
        <v>829</v>
      </c>
      <c r="H38" s="121">
        <v>771</v>
      </c>
      <c r="I38" s="122"/>
    </row>
    <row r="39" spans="2:15">
      <c r="B39" s="123" t="s">
        <v>89</v>
      </c>
      <c r="C39" s="48">
        <v>15600</v>
      </c>
      <c r="D39" s="849">
        <v>15599</v>
      </c>
      <c r="E39" s="849">
        <v>15600</v>
      </c>
      <c r="F39" s="849">
        <v>15600</v>
      </c>
      <c r="G39" s="48">
        <v>14992</v>
      </c>
      <c r="H39" s="48">
        <v>13770</v>
      </c>
      <c r="I39" s="48">
        <v>11800</v>
      </c>
    </row>
    <row r="40" spans="2:15">
      <c r="B40" s="87" t="s">
        <v>1843</v>
      </c>
    </row>
    <row r="42" spans="2:15">
      <c r="N42" s="41"/>
      <c r="O42" s="139"/>
    </row>
    <row r="43" spans="2:15" ht="15.6">
      <c r="B43" s="83" t="s">
        <v>56</v>
      </c>
      <c r="N43" s="41"/>
      <c r="O43" s="139"/>
    </row>
    <row r="44" spans="2:15">
      <c r="B44" s="5" t="s">
        <v>2</v>
      </c>
      <c r="N44" s="41"/>
      <c r="O44" s="139"/>
    </row>
    <row r="45" spans="2:15">
      <c r="B45" s="194"/>
      <c r="C45" s="115">
        <v>2022</v>
      </c>
      <c r="D45" s="115">
        <v>2021</v>
      </c>
      <c r="E45" s="115">
        <v>2020</v>
      </c>
      <c r="F45" s="115">
        <v>2019</v>
      </c>
      <c r="G45" s="115">
        <v>2014</v>
      </c>
      <c r="N45" s="41"/>
      <c r="O45" s="139"/>
    </row>
    <row r="46" spans="2:15" ht="15" thickBot="1">
      <c r="B46" s="84" t="s">
        <v>80</v>
      </c>
      <c r="C46" s="222"/>
      <c r="D46" s="46"/>
      <c r="E46" s="46"/>
      <c r="F46" s="46"/>
      <c r="G46" s="46">
        <v>4018</v>
      </c>
      <c r="N46" s="41"/>
      <c r="O46" s="139"/>
    </row>
    <row r="47" spans="2:15" ht="15" thickBot="1">
      <c r="B47" s="84" t="s">
        <v>83</v>
      </c>
      <c r="C47" s="222"/>
      <c r="D47" s="46"/>
      <c r="E47" s="46"/>
      <c r="F47" s="46"/>
      <c r="G47" s="46">
        <v>1138</v>
      </c>
      <c r="N47" s="41"/>
      <c r="O47" s="139"/>
    </row>
    <row r="48" spans="2:15" ht="15" thickBot="1">
      <c r="B48" s="84" t="s">
        <v>85</v>
      </c>
      <c r="C48" s="222"/>
      <c r="D48" s="46"/>
      <c r="E48" s="46"/>
      <c r="F48" s="46"/>
      <c r="G48" s="46">
        <v>437</v>
      </c>
      <c r="J48" s="41"/>
      <c r="K48" s="139"/>
      <c r="N48" s="41"/>
      <c r="O48" s="139"/>
    </row>
    <row r="49" spans="2:15">
      <c r="B49" s="97" t="s">
        <v>87</v>
      </c>
      <c r="C49" s="124"/>
      <c r="D49" s="189"/>
      <c r="E49" s="189"/>
      <c r="F49" s="189"/>
      <c r="G49" s="189">
        <v>423</v>
      </c>
      <c r="N49" s="41"/>
      <c r="O49" s="139"/>
    </row>
    <row r="50" spans="2:15">
      <c r="B50" s="123" t="s">
        <v>89</v>
      </c>
      <c r="C50" s="48">
        <v>8300</v>
      </c>
      <c r="D50" s="48">
        <v>8300</v>
      </c>
      <c r="E50" s="48">
        <v>8300</v>
      </c>
      <c r="F50" s="48">
        <v>8300</v>
      </c>
      <c r="G50" s="48">
        <v>8248</v>
      </c>
      <c r="N50" s="41"/>
      <c r="O50" s="139"/>
    </row>
    <row r="51" spans="2:15">
      <c r="B51" s="87" t="s">
        <v>504</v>
      </c>
      <c r="C51" s="197"/>
      <c r="N51" s="41"/>
      <c r="O51" s="139"/>
    </row>
    <row r="52" spans="2:15">
      <c r="B52" s="197"/>
      <c r="C52" s="197"/>
      <c r="N52" s="41"/>
      <c r="O52" s="139"/>
    </row>
    <row r="53" spans="2:15">
      <c r="B53" s="197"/>
      <c r="C53" s="197"/>
      <c r="N53" s="41"/>
      <c r="O53" s="139"/>
    </row>
    <row r="54" spans="2:15" ht="15.6">
      <c r="B54" s="83" t="s">
        <v>56</v>
      </c>
      <c r="N54" s="41"/>
      <c r="O54" s="139"/>
    </row>
    <row r="55" spans="2:15">
      <c r="B55" s="93" t="s">
        <v>46</v>
      </c>
      <c r="N55" s="41"/>
      <c r="O55" s="139"/>
    </row>
    <row r="56" spans="2:15">
      <c r="B56" s="85" t="s">
        <v>374</v>
      </c>
      <c r="C56" s="125" t="s">
        <v>497</v>
      </c>
      <c r="D56" s="125">
        <v>2014</v>
      </c>
      <c r="N56" s="41"/>
      <c r="O56" s="139"/>
    </row>
    <row r="57" spans="2:15" ht="15" thickBot="1">
      <c r="B57" s="84" t="s">
        <v>366</v>
      </c>
      <c r="C57" s="222">
        <v>1342</v>
      </c>
      <c r="D57" s="222">
        <v>1200</v>
      </c>
      <c r="N57" s="41"/>
      <c r="O57" s="139"/>
    </row>
    <row r="58" spans="2:15" ht="15" thickBot="1">
      <c r="B58" s="84" t="s">
        <v>362</v>
      </c>
      <c r="C58" s="222">
        <v>530</v>
      </c>
      <c r="D58" s="222">
        <v>270</v>
      </c>
      <c r="N58" s="41"/>
      <c r="O58" s="139"/>
    </row>
    <row r="59" spans="2:15" ht="15" thickBot="1">
      <c r="B59" s="84" t="s">
        <v>363</v>
      </c>
      <c r="C59" s="222">
        <v>13738</v>
      </c>
      <c r="D59" s="222">
        <v>12300</v>
      </c>
      <c r="N59" s="41"/>
      <c r="O59" s="139"/>
    </row>
    <row r="60" spans="2:15" ht="15" thickBot="1">
      <c r="B60" s="84" t="s">
        <v>129</v>
      </c>
      <c r="C60" s="222"/>
      <c r="D60" s="222">
        <v>1222</v>
      </c>
      <c r="N60" s="41"/>
      <c r="O60" s="139"/>
    </row>
    <row r="61" spans="2:15">
      <c r="B61" s="40" t="s">
        <v>52</v>
      </c>
      <c r="C61" s="48">
        <f>SUM(C57:C60)</f>
        <v>15610</v>
      </c>
      <c r="D61" s="48">
        <v>14992</v>
      </c>
      <c r="N61" s="41"/>
      <c r="O61" s="139"/>
    </row>
    <row r="62" spans="2:15">
      <c r="B62" s="152"/>
      <c r="C62" s="152"/>
      <c r="D62" s="152"/>
      <c r="N62" s="41"/>
      <c r="O62" s="139"/>
    </row>
    <row r="63" spans="2:15">
      <c r="B63" s="85" t="s">
        <v>375</v>
      </c>
      <c r="C63" s="125" t="s">
        <v>497</v>
      </c>
      <c r="D63" s="125">
        <v>2014</v>
      </c>
      <c r="N63" s="41"/>
      <c r="O63" s="139"/>
    </row>
    <row r="64" spans="2:15" ht="15" thickBot="1">
      <c r="B64" s="84" t="s">
        <v>134</v>
      </c>
      <c r="C64" s="222">
        <v>840</v>
      </c>
      <c r="D64" s="222">
        <v>790</v>
      </c>
      <c r="N64" s="41"/>
      <c r="O64" s="139"/>
    </row>
    <row r="65" spans="2:15" ht="15" thickBot="1">
      <c r="B65" s="84" t="s">
        <v>365</v>
      </c>
      <c r="C65" s="222">
        <v>890</v>
      </c>
      <c r="D65" s="222">
        <v>810</v>
      </c>
      <c r="N65" s="41"/>
      <c r="O65" s="139"/>
    </row>
    <row r="66" spans="2:15" ht="15" thickBot="1">
      <c r="B66" s="84" t="s">
        <v>364</v>
      </c>
      <c r="C66" s="222">
        <v>13870</v>
      </c>
      <c r="D66" s="222">
        <v>12710</v>
      </c>
      <c r="N66" s="41"/>
      <c r="O66" s="139"/>
    </row>
    <row r="67" spans="2:15" ht="15" thickBot="1">
      <c r="B67" s="84" t="s">
        <v>129</v>
      </c>
      <c r="C67" s="222"/>
      <c r="D67" s="222">
        <v>682</v>
      </c>
      <c r="N67" s="41"/>
      <c r="O67" s="139"/>
    </row>
    <row r="68" spans="2:15">
      <c r="B68" s="40" t="s">
        <v>52</v>
      </c>
      <c r="C68" s="48">
        <f>SUM(C64:C67)</f>
        <v>15600</v>
      </c>
      <c r="D68" s="48">
        <v>14992</v>
      </c>
      <c r="N68" s="41"/>
      <c r="O68" s="139"/>
    </row>
    <row r="69" spans="2:15">
      <c r="B69" s="87" t="s">
        <v>504</v>
      </c>
      <c r="C69" s="139"/>
      <c r="N69" s="41"/>
      <c r="O69" s="139"/>
    </row>
    <row r="70" spans="2:15">
      <c r="B70" s="197"/>
      <c r="C70" s="197"/>
      <c r="N70" s="41"/>
      <c r="O70" s="139"/>
    </row>
    <row r="71" spans="2:15">
      <c r="N71" s="41"/>
      <c r="O71" s="139"/>
    </row>
    <row r="72" spans="2:15" ht="15.6">
      <c r="B72" s="83" t="s">
        <v>56</v>
      </c>
      <c r="N72" s="150"/>
    </row>
    <row r="73" spans="2:15">
      <c r="B73" s="5" t="s">
        <v>490</v>
      </c>
    </row>
    <row r="74" spans="2:15">
      <c r="B74" s="115"/>
      <c r="C74" s="115" t="s">
        <v>1680</v>
      </c>
      <c r="D74" s="115" t="s">
        <v>1190</v>
      </c>
      <c r="E74" s="115">
        <v>2020</v>
      </c>
      <c r="F74" s="115" t="s">
        <v>471</v>
      </c>
      <c r="G74" s="85">
        <v>2018</v>
      </c>
      <c r="H74" s="85">
        <v>2017</v>
      </c>
      <c r="I74" s="85">
        <v>2016</v>
      </c>
      <c r="J74" s="85">
        <v>2015</v>
      </c>
      <c r="K74" s="85">
        <v>2014</v>
      </c>
      <c r="L74" s="85">
        <v>2013</v>
      </c>
      <c r="M74" s="85">
        <v>2012</v>
      </c>
      <c r="N74" s="85">
        <v>2011</v>
      </c>
      <c r="O74" s="85">
        <v>2010</v>
      </c>
    </row>
    <row r="75" spans="2:15" ht="15" thickBot="1">
      <c r="B75" s="84" t="s">
        <v>446</v>
      </c>
      <c r="C75" s="215">
        <v>11.8</v>
      </c>
      <c r="D75" s="215">
        <v>10.9</v>
      </c>
      <c r="E75" s="215">
        <v>9.6</v>
      </c>
      <c r="F75" s="95">
        <v>8.6999999999999993</v>
      </c>
      <c r="G75" s="95">
        <v>7.2</v>
      </c>
      <c r="H75" s="95">
        <v>6.9</v>
      </c>
      <c r="I75" s="95">
        <v>6.5</v>
      </c>
      <c r="J75" s="95">
        <v>6.1</v>
      </c>
      <c r="K75" s="95">
        <v>5.6</v>
      </c>
      <c r="L75" s="95">
        <v>5.2</v>
      </c>
      <c r="M75" s="95">
        <v>4.8</v>
      </c>
      <c r="N75" s="95">
        <v>4.4000000000000004</v>
      </c>
      <c r="O75" s="95">
        <v>3.8</v>
      </c>
    </row>
    <row r="76" spans="2:15" ht="15" thickBot="1">
      <c r="B76" s="84" t="s">
        <v>445</v>
      </c>
      <c r="C76" s="215">
        <v>56.7</v>
      </c>
      <c r="D76" s="215">
        <v>65</v>
      </c>
      <c r="E76" s="215">
        <v>45.8</v>
      </c>
      <c r="F76" s="95">
        <v>42</v>
      </c>
      <c r="G76" s="95">
        <v>34.299999999999997</v>
      </c>
      <c r="H76" s="95">
        <v>33.200000000000003</v>
      </c>
      <c r="I76" s="95">
        <v>31.6</v>
      </c>
      <c r="J76" s="95">
        <v>29.9</v>
      </c>
      <c r="K76" s="95">
        <v>27.6</v>
      </c>
      <c r="L76" s="95">
        <v>25.9</v>
      </c>
      <c r="M76" s="95">
        <v>24.1</v>
      </c>
      <c r="N76" s="95">
        <v>22.3</v>
      </c>
      <c r="O76" s="95">
        <v>19.5</v>
      </c>
    </row>
    <row r="77" spans="2:15">
      <c r="B77" s="195" t="s">
        <v>447</v>
      </c>
    </row>
    <row r="78" spans="2:15">
      <c r="B78" s="87" t="s">
        <v>1844</v>
      </c>
    </row>
    <row r="79" spans="2:15" ht="17.399999999999999">
      <c r="B79" s="68"/>
    </row>
    <row r="80" spans="2:15" ht="15.6">
      <c r="B80" s="83" t="s">
        <v>486</v>
      </c>
    </row>
    <row r="81" spans="2:9">
      <c r="B81" s="5" t="s">
        <v>489</v>
      </c>
    </row>
    <row r="82" spans="2:9">
      <c r="B82" s="115"/>
      <c r="C82" s="85">
        <v>2021</v>
      </c>
      <c r="D82" s="85">
        <v>2020</v>
      </c>
      <c r="E82" s="85">
        <v>2019</v>
      </c>
      <c r="F82" s="85">
        <v>2018</v>
      </c>
      <c r="G82" s="85">
        <v>2017</v>
      </c>
      <c r="H82" s="85">
        <v>2016</v>
      </c>
      <c r="I82" s="85">
        <v>2015</v>
      </c>
    </row>
    <row r="83" spans="2:9" ht="15" thickBot="1">
      <c r="B83" s="84" t="s">
        <v>488</v>
      </c>
      <c r="C83" s="215">
        <v>1332.9811</v>
      </c>
      <c r="D83" s="215">
        <v>872.35640000000001</v>
      </c>
      <c r="E83" s="214">
        <v>845.3</v>
      </c>
      <c r="F83" s="214">
        <v>754.81</v>
      </c>
      <c r="G83" s="214">
        <v>677.49</v>
      </c>
      <c r="H83" s="214">
        <v>588.17999999999995</v>
      </c>
      <c r="I83" s="214">
        <v>557.66</v>
      </c>
    </row>
    <row r="84" spans="2:9" ht="15" thickBot="1">
      <c r="B84" s="84" t="s">
        <v>487</v>
      </c>
      <c r="C84" s="215">
        <v>209</v>
      </c>
      <c r="D84" s="215">
        <v>148</v>
      </c>
      <c r="E84" s="214">
        <v>187.19</v>
      </c>
      <c r="F84" s="214">
        <v>169.85</v>
      </c>
      <c r="G84" s="214">
        <v>170.53</v>
      </c>
      <c r="H84" s="214">
        <v>170.96</v>
      </c>
      <c r="I84" s="214">
        <v>129.34</v>
      </c>
    </row>
    <row r="85" spans="2:9">
      <c r="B85" s="112" t="s">
        <v>1718</v>
      </c>
    </row>
    <row r="86" spans="2:9" ht="17.399999999999999">
      <c r="B86" s="68"/>
    </row>
    <row r="87" spans="2:9">
      <c r="C87" s="980"/>
    </row>
  </sheetData>
  <hyperlinks>
    <hyperlink ref="B28" r:id="rId1" display="Source: Ibraflor, Mercado Interno, 2020" xr:uid="{00000000-0004-0000-0400-000000000000}"/>
    <hyperlink ref="B77" r:id="rId2" xr:uid="{00000000-0004-0000-0400-000001000000}"/>
    <hyperlink ref="B40" r:id="rId3" display="Source: Ibraflor, Mercado Interno, 2020" xr:uid="{00000000-0004-0000-0400-000002000000}"/>
    <hyperlink ref="B51" r:id="rId4" display="Source: Ibraflor, Mercado Interno, 2020" xr:uid="{00000000-0004-0000-0400-000003000000}"/>
    <hyperlink ref="B69" r:id="rId5" display="Source: Ibraflor, Mercado Interno, 2020" xr:uid="{00000000-0004-0000-0400-000004000000}"/>
    <hyperlink ref="B78" r:id="rId6" display="Source: Ibraflor, Mercado Interno, 2020" xr:uid="{00000000-0004-0000-0400-000005000000}"/>
  </hyperlinks>
  <pageMargins left="0.7" right="0.7" top="0.78740157499999996" bottom="0.78740157499999996" header="0.3" footer="0.3"/>
  <pageSetup paperSize="9" orientation="portrait" horizontalDpi="1200" verticalDpi="1200" r:id="rId7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B2:V320"/>
  <sheetViews>
    <sheetView zoomScaleNormal="100" workbookViewId="0">
      <selection activeCell="D43" sqref="D43"/>
    </sheetView>
  </sheetViews>
  <sheetFormatPr defaultColWidth="11.44140625" defaultRowHeight="14.4"/>
  <cols>
    <col min="2" max="2" width="25.109375" customWidth="1"/>
    <col min="3" max="3" width="11.44140625" customWidth="1"/>
    <col min="4" max="6" width="11" customWidth="1"/>
    <col min="16" max="16" width="12.44140625" bestFit="1" customWidth="1"/>
    <col min="18" max="18" width="12.44140625" bestFit="1" customWidth="1"/>
  </cols>
  <sheetData>
    <row r="2" spans="2:4" ht="15.6">
      <c r="B2" s="83" t="s">
        <v>593</v>
      </c>
    </row>
    <row r="3" spans="2:4" ht="15.6">
      <c r="B3" s="83"/>
    </row>
    <row r="4" spans="2:4" ht="15.6">
      <c r="B4" s="83" t="s">
        <v>2417</v>
      </c>
    </row>
    <row r="5" spans="2:4" ht="15.6">
      <c r="B5" s="83"/>
    </row>
    <row r="6" spans="2:4">
      <c r="B6" s="13" t="s">
        <v>530</v>
      </c>
      <c r="C6" s="239">
        <v>41.3</v>
      </c>
      <c r="D6" s="240" t="s">
        <v>531</v>
      </c>
    </row>
    <row r="7" spans="2:4">
      <c r="B7" s="13" t="s">
        <v>532</v>
      </c>
      <c r="C7" s="247">
        <v>15634</v>
      </c>
      <c r="D7" s="240" t="s">
        <v>533</v>
      </c>
    </row>
    <row r="8" spans="2:4" ht="26.4">
      <c r="B8" s="242" t="s">
        <v>534</v>
      </c>
      <c r="C8" s="243">
        <v>4</v>
      </c>
      <c r="D8" s="244" t="s">
        <v>535</v>
      </c>
    </row>
    <row r="9" spans="2:4" ht="15" customHeight="1">
      <c r="B9" s="245"/>
      <c r="C9" s="246"/>
      <c r="D9" s="240"/>
    </row>
    <row r="10" spans="2:4" ht="15.6">
      <c r="B10" s="13" t="s">
        <v>536</v>
      </c>
      <c r="C10" s="247">
        <v>2202</v>
      </c>
      <c r="D10" s="240" t="s">
        <v>537</v>
      </c>
    </row>
    <row r="11" spans="2:4">
      <c r="B11" s="245" t="s">
        <v>538</v>
      </c>
      <c r="C11" s="246">
        <v>53340</v>
      </c>
      <c r="D11" s="240" t="s">
        <v>539</v>
      </c>
    </row>
    <row r="12" spans="2:4" ht="15" customHeight="1">
      <c r="B12" s="13" t="s">
        <v>540</v>
      </c>
      <c r="C12" s="247">
        <v>2662</v>
      </c>
      <c r="D12" s="240" t="s">
        <v>537</v>
      </c>
    </row>
    <row r="13" spans="2:4">
      <c r="B13" s="245" t="s">
        <v>594</v>
      </c>
      <c r="C13" s="246"/>
      <c r="D13" s="240"/>
    </row>
    <row r="14" spans="2:4" ht="15" customHeight="1">
      <c r="B14" s="245" t="s">
        <v>538</v>
      </c>
      <c r="C14" s="246">
        <v>64470</v>
      </c>
      <c r="D14" s="240" t="s">
        <v>542</v>
      </c>
    </row>
    <row r="15" spans="2:4">
      <c r="B15" s="248"/>
      <c r="C15" s="249"/>
      <c r="D15" s="244"/>
    </row>
    <row r="16" spans="2:4">
      <c r="B16" s="13" t="s">
        <v>543</v>
      </c>
      <c r="C16" s="239">
        <v>1.5</v>
      </c>
      <c r="D16" s="240" t="s">
        <v>544</v>
      </c>
    </row>
    <row r="17" spans="2:13" ht="26.4">
      <c r="B17" s="13" t="s">
        <v>545</v>
      </c>
      <c r="C17" s="239">
        <v>-1.4</v>
      </c>
      <c r="D17" s="240" t="s">
        <v>546</v>
      </c>
    </row>
    <row r="18" spans="2:13" ht="15" customHeight="1">
      <c r="B18" s="245"/>
      <c r="C18" s="246"/>
      <c r="D18" s="246"/>
      <c r="E18" s="240"/>
    </row>
    <row r="19" spans="2:13">
      <c r="B19" s="250" t="s">
        <v>595</v>
      </c>
      <c r="C19" s="251"/>
      <c r="D19" s="251"/>
      <c r="E19" s="251"/>
    </row>
    <row r="20" spans="2:13">
      <c r="B20" s="252" t="s">
        <v>2416</v>
      </c>
      <c r="C20" s="253"/>
      <c r="D20" s="253"/>
      <c r="E20" s="82"/>
    </row>
    <row r="23" spans="2:13" ht="15.6">
      <c r="B23" s="86" t="s">
        <v>56</v>
      </c>
    </row>
    <row r="24" spans="2:13">
      <c r="B24" s="81" t="s">
        <v>46</v>
      </c>
    </row>
    <row r="25" spans="2:13">
      <c r="B25" s="115"/>
      <c r="C25" s="115"/>
      <c r="D25" s="115">
        <v>2024</v>
      </c>
      <c r="E25" s="115">
        <v>2023</v>
      </c>
      <c r="F25" s="115">
        <v>2022</v>
      </c>
      <c r="G25" s="115">
        <v>2021</v>
      </c>
      <c r="H25" s="115">
        <v>2020</v>
      </c>
      <c r="I25" s="115">
        <v>2019</v>
      </c>
      <c r="J25" s="115">
        <v>2018</v>
      </c>
      <c r="K25" s="115">
        <v>2017</v>
      </c>
      <c r="L25" s="115">
        <v>2016</v>
      </c>
      <c r="M25" s="115">
        <v>2015</v>
      </c>
    </row>
    <row r="26" spans="2:13" ht="15" thickBot="1">
      <c r="B26" s="1553" t="s">
        <v>597</v>
      </c>
      <c r="C26" s="1553"/>
      <c r="D26" s="1312">
        <v>755</v>
      </c>
      <c r="E26" s="277">
        <v>744</v>
      </c>
      <c r="F26" s="43">
        <f>F27+F28+F29</f>
        <v>682</v>
      </c>
      <c r="G26" s="43">
        <v>670</v>
      </c>
      <c r="H26" s="43">
        <v>709</v>
      </c>
      <c r="I26" s="43">
        <v>706</v>
      </c>
      <c r="J26" s="43">
        <v>712</v>
      </c>
      <c r="K26" s="43">
        <v>735</v>
      </c>
      <c r="L26" s="43">
        <v>760</v>
      </c>
      <c r="M26" s="43">
        <v>800</v>
      </c>
    </row>
    <row r="27" spans="2:13" ht="15" thickBot="1">
      <c r="B27" s="95" t="s">
        <v>598</v>
      </c>
      <c r="C27" s="84"/>
      <c r="D27" s="1200">
        <v>222</v>
      </c>
      <c r="E27" s="95">
        <v>223</v>
      </c>
      <c r="F27" s="44">
        <v>200</v>
      </c>
      <c r="G27" s="44">
        <v>189</v>
      </c>
      <c r="H27" s="44">
        <v>199</v>
      </c>
      <c r="I27" s="44">
        <v>200</v>
      </c>
      <c r="J27" s="44">
        <v>195</v>
      </c>
      <c r="K27" s="44">
        <v>218</v>
      </c>
      <c r="L27" s="44">
        <v>232</v>
      </c>
      <c r="M27" s="44">
        <v>237</v>
      </c>
    </row>
    <row r="28" spans="2:13" ht="15" thickBot="1">
      <c r="B28" s="1552" t="s">
        <v>599</v>
      </c>
      <c r="C28" s="1552"/>
      <c r="D28" s="1200">
        <v>52</v>
      </c>
      <c r="E28" s="95">
        <v>50</v>
      </c>
      <c r="F28" s="273">
        <v>42</v>
      </c>
      <c r="G28" s="273">
        <v>39</v>
      </c>
      <c r="H28" s="273">
        <v>38</v>
      </c>
      <c r="I28" s="273">
        <v>36</v>
      </c>
      <c r="J28" s="273">
        <v>38</v>
      </c>
      <c r="K28" s="273">
        <v>31</v>
      </c>
      <c r="L28" s="273">
        <v>25</v>
      </c>
      <c r="M28" s="273">
        <v>32</v>
      </c>
    </row>
    <row r="29" spans="2:13" ht="15" thickBot="1">
      <c r="B29" s="1552" t="s">
        <v>600</v>
      </c>
      <c r="C29" s="1552"/>
      <c r="D29" s="1200">
        <v>481</v>
      </c>
      <c r="E29" s="95">
        <v>471</v>
      </c>
      <c r="F29" s="273">
        <v>440</v>
      </c>
      <c r="G29" s="273">
        <v>442</v>
      </c>
      <c r="H29" s="273">
        <v>471</v>
      </c>
      <c r="I29" s="273">
        <v>470</v>
      </c>
      <c r="J29" s="273">
        <v>479</v>
      </c>
      <c r="K29" s="273">
        <v>486</v>
      </c>
      <c r="L29" s="273">
        <v>503</v>
      </c>
      <c r="M29" s="273">
        <v>530</v>
      </c>
    </row>
    <row r="30" spans="2:13" ht="15" thickBot="1">
      <c r="B30" s="1554" t="s">
        <v>601</v>
      </c>
      <c r="C30" s="1554"/>
      <c r="D30" s="140">
        <v>460</v>
      </c>
      <c r="E30" s="202">
        <v>454</v>
      </c>
      <c r="F30" s="43">
        <v>458</v>
      </c>
      <c r="G30" s="43">
        <v>449</v>
      </c>
      <c r="H30" s="43">
        <v>410</v>
      </c>
      <c r="I30" s="43">
        <v>329</v>
      </c>
      <c r="J30" s="43">
        <v>303</v>
      </c>
      <c r="K30" s="43">
        <v>291</v>
      </c>
      <c r="L30" s="44">
        <v>211</v>
      </c>
      <c r="M30" s="44" t="s">
        <v>59</v>
      </c>
    </row>
    <row r="31" spans="2:13" ht="15" thickBot="1">
      <c r="B31" s="1556" t="s">
        <v>602</v>
      </c>
      <c r="C31" s="1556"/>
      <c r="D31" s="1356">
        <v>15210</v>
      </c>
      <c r="E31" s="60" t="s">
        <v>1888</v>
      </c>
      <c r="F31" s="43">
        <v>15630</v>
      </c>
      <c r="G31" s="43">
        <v>15740</v>
      </c>
      <c r="H31" s="43">
        <v>16041</v>
      </c>
      <c r="I31" s="43">
        <v>16886</v>
      </c>
      <c r="J31" s="43">
        <v>17202</v>
      </c>
      <c r="K31" s="43">
        <v>17691</v>
      </c>
      <c r="L31" s="43">
        <v>18369</v>
      </c>
      <c r="M31" s="43">
        <v>19505</v>
      </c>
    </row>
    <row r="32" spans="2:13" ht="15" thickBot="1">
      <c r="B32" s="1552" t="s">
        <v>603</v>
      </c>
      <c r="C32" s="1552" t="s">
        <v>604</v>
      </c>
      <c r="D32" s="1357" t="s">
        <v>2004</v>
      </c>
      <c r="E32" s="59" t="s">
        <v>1889</v>
      </c>
      <c r="F32" s="44">
        <v>13703</v>
      </c>
      <c r="G32" s="44">
        <v>13833</v>
      </c>
      <c r="H32" s="44">
        <v>14003</v>
      </c>
      <c r="I32" s="44">
        <v>14719</v>
      </c>
      <c r="J32" s="44">
        <v>14939</v>
      </c>
      <c r="K32" s="44">
        <v>15281</v>
      </c>
      <c r="L32" s="44">
        <v>15694</v>
      </c>
      <c r="M32" s="44">
        <v>16267</v>
      </c>
    </row>
    <row r="33" spans="2:13" ht="15" thickBot="1">
      <c r="B33" s="1552" t="s">
        <v>605</v>
      </c>
      <c r="C33" s="1552"/>
      <c r="D33" s="1358" t="s">
        <v>2005</v>
      </c>
      <c r="E33" s="104" t="s">
        <v>1890</v>
      </c>
      <c r="F33" s="75">
        <v>1926</v>
      </c>
      <c r="G33" s="75">
        <v>1908</v>
      </c>
      <c r="H33" s="44">
        <v>2037</v>
      </c>
      <c r="I33" s="44">
        <v>2167</v>
      </c>
      <c r="J33" s="44">
        <v>2263</v>
      </c>
      <c r="K33" s="44">
        <v>2410</v>
      </c>
      <c r="L33" s="44">
        <v>2676</v>
      </c>
      <c r="M33" s="44">
        <v>3238</v>
      </c>
    </row>
    <row r="34" spans="2:13">
      <c r="B34" s="87" t="s">
        <v>606</v>
      </c>
      <c r="C34" s="87"/>
      <c r="D34" s="39"/>
      <c r="E34" s="39"/>
      <c r="F34" s="39"/>
      <c r="G34" s="39"/>
      <c r="H34" s="39"/>
      <c r="I34" s="39"/>
      <c r="J34" s="39"/>
      <c r="K34" s="39"/>
      <c r="L34" s="39"/>
      <c r="M34" s="39"/>
    </row>
    <row r="35" spans="2:13">
      <c r="B35" s="87" t="s">
        <v>607</v>
      </c>
    </row>
    <row r="36" spans="2:13">
      <c r="B36" s="193" t="s">
        <v>2003</v>
      </c>
    </row>
    <row r="37" spans="2:13">
      <c r="B37" s="193" t="s">
        <v>2006</v>
      </c>
    </row>
    <row r="38" spans="2:13">
      <c r="B38" s="276" t="s">
        <v>2007</v>
      </c>
    </row>
    <row r="40" spans="2:13" ht="15.6">
      <c r="B40" s="86" t="s">
        <v>608</v>
      </c>
      <c r="D40" s="23"/>
      <c r="E40" s="23"/>
      <c r="F40" s="23"/>
      <c r="G40" s="23"/>
      <c r="H40" s="23"/>
      <c r="I40" s="23"/>
      <c r="J40" s="23"/>
    </row>
    <row r="42" spans="2:13">
      <c r="B42" s="115"/>
      <c r="C42" s="115"/>
      <c r="D42" s="115">
        <v>2024</v>
      </c>
      <c r="E42" s="115">
        <v>2023</v>
      </c>
      <c r="F42" s="115">
        <v>2022</v>
      </c>
      <c r="G42" s="115">
        <v>2021</v>
      </c>
      <c r="H42" s="115">
        <v>2020</v>
      </c>
      <c r="I42" s="115">
        <v>2019</v>
      </c>
      <c r="J42" s="115">
        <v>2018</v>
      </c>
      <c r="K42" s="115">
        <v>2017</v>
      </c>
      <c r="L42" s="115">
        <v>2016</v>
      </c>
      <c r="M42" s="115">
        <v>2015</v>
      </c>
    </row>
    <row r="43" spans="2:13" ht="15" thickBot="1">
      <c r="B43" s="1553" t="s">
        <v>564</v>
      </c>
      <c r="C43" s="1553"/>
      <c r="D43" s="140">
        <v>1794</v>
      </c>
      <c r="E43" s="984">
        <v>1788</v>
      </c>
      <c r="F43" s="44">
        <v>1778</v>
      </c>
      <c r="G43" s="44">
        <v>1840</v>
      </c>
      <c r="H43" s="44">
        <v>1993</v>
      </c>
      <c r="I43" s="44">
        <v>2127</v>
      </c>
      <c r="J43" s="44">
        <v>2209</v>
      </c>
      <c r="K43" s="44">
        <v>2275</v>
      </c>
      <c r="L43" s="44">
        <v>2242</v>
      </c>
      <c r="M43" s="44">
        <v>2353</v>
      </c>
    </row>
    <row r="44" spans="2:13" ht="15" thickBot="1">
      <c r="B44" s="1554" t="s">
        <v>609</v>
      </c>
      <c r="C44" s="1554"/>
      <c r="D44" s="140">
        <v>1544</v>
      </c>
      <c r="E44" s="984">
        <v>1547</v>
      </c>
      <c r="F44" s="44">
        <v>1646</v>
      </c>
      <c r="G44" s="44">
        <v>1620</v>
      </c>
      <c r="H44" s="44">
        <v>1615</v>
      </c>
      <c r="I44" s="44">
        <v>1620</v>
      </c>
      <c r="J44" s="44">
        <v>1646</v>
      </c>
      <c r="K44" s="44">
        <v>1703</v>
      </c>
      <c r="L44" s="44">
        <v>1811</v>
      </c>
      <c r="M44" s="44">
        <v>1872</v>
      </c>
    </row>
    <row r="45" spans="2:13" ht="15" thickBot="1">
      <c r="B45" s="210" t="s">
        <v>610</v>
      </c>
      <c r="C45" s="210"/>
      <c r="D45" s="1212">
        <v>214</v>
      </c>
      <c r="E45" s="1211">
        <v>203</v>
      </c>
      <c r="F45" s="75">
        <v>194</v>
      </c>
      <c r="G45" s="75">
        <v>199</v>
      </c>
      <c r="H45" s="75">
        <v>185</v>
      </c>
      <c r="I45" s="75">
        <v>172</v>
      </c>
      <c r="J45" s="75">
        <v>197</v>
      </c>
      <c r="K45" s="75">
        <v>178</v>
      </c>
      <c r="L45" s="75">
        <v>121</v>
      </c>
      <c r="M45" s="75" t="s">
        <v>59</v>
      </c>
    </row>
    <row r="46" spans="2:13">
      <c r="B46" s="193" t="s">
        <v>2003</v>
      </c>
    </row>
    <row r="47" spans="2:13">
      <c r="B47" s="193" t="s">
        <v>2006</v>
      </c>
      <c r="D47" s="23"/>
      <c r="E47" s="23"/>
      <c r="F47" s="23"/>
      <c r="G47" s="23"/>
      <c r="H47" s="23"/>
    </row>
    <row r="48" spans="2:13">
      <c r="B48" s="193" t="s">
        <v>2007</v>
      </c>
    </row>
    <row r="49" spans="2:6">
      <c r="D49" s="23"/>
      <c r="E49" s="23"/>
    </row>
    <row r="50" spans="2:6" ht="15.6">
      <c r="B50" s="86" t="s">
        <v>611</v>
      </c>
      <c r="C50" s="86"/>
      <c r="D50" s="72"/>
      <c r="E50" s="72"/>
    </row>
    <row r="51" spans="2:6">
      <c r="B51" s="81" t="s">
        <v>137</v>
      </c>
      <c r="C51" s="81"/>
      <c r="D51" s="72"/>
      <c r="E51" s="72"/>
    </row>
    <row r="52" spans="2:6">
      <c r="B52" s="115"/>
      <c r="C52" s="115" t="s">
        <v>2030</v>
      </c>
      <c r="D52" s="115" t="s">
        <v>1961</v>
      </c>
      <c r="E52" s="115" t="s">
        <v>2029</v>
      </c>
      <c r="F52" s="115">
        <v>2011</v>
      </c>
    </row>
    <row r="53" spans="2:6" ht="15" thickBot="1">
      <c r="B53" s="277" t="s">
        <v>612</v>
      </c>
      <c r="C53" s="43">
        <v>1198</v>
      </c>
      <c r="D53" s="43">
        <v>1140</v>
      </c>
      <c r="E53" s="43">
        <v>793</v>
      </c>
      <c r="F53" s="278">
        <v>859</v>
      </c>
    </row>
    <row r="54" spans="2:6" ht="15" thickBot="1">
      <c r="B54" s="277" t="s">
        <v>613</v>
      </c>
      <c r="C54" s="43">
        <v>15334</v>
      </c>
      <c r="D54" s="43">
        <v>15630</v>
      </c>
      <c r="E54" s="43">
        <v>19859</v>
      </c>
      <c r="F54" s="278">
        <v>24146</v>
      </c>
    </row>
    <row r="55" spans="2:6" ht="15" thickBot="1">
      <c r="B55" s="210" t="s">
        <v>242</v>
      </c>
      <c r="C55" s="101" t="s">
        <v>59</v>
      </c>
      <c r="D55" s="101" t="s">
        <v>59</v>
      </c>
      <c r="E55" s="101">
        <v>23787</v>
      </c>
      <c r="F55" s="278">
        <v>28315</v>
      </c>
    </row>
    <row r="56" spans="2:6">
      <c r="B56" s="87" t="s">
        <v>614</v>
      </c>
      <c r="C56" s="279"/>
      <c r="D56" s="279"/>
      <c r="E56" s="279"/>
    </row>
    <row r="57" spans="2:6">
      <c r="B57" s="1400" t="s">
        <v>2031</v>
      </c>
      <c r="C57" s="279"/>
      <c r="D57" s="279"/>
      <c r="E57" s="279"/>
    </row>
    <row r="59" spans="2:6" ht="16.2">
      <c r="B59" s="81" t="s">
        <v>615</v>
      </c>
    </row>
    <row r="60" spans="2:6">
      <c r="B60" s="115"/>
      <c r="C60" s="115" t="s">
        <v>2030</v>
      </c>
      <c r="D60" s="115" t="s">
        <v>1961</v>
      </c>
      <c r="E60" s="115" t="s">
        <v>2029</v>
      </c>
      <c r="F60" s="115">
        <v>2011</v>
      </c>
    </row>
    <row r="61" spans="2:6" ht="15" thickBot="1">
      <c r="B61" s="277" t="s">
        <v>612</v>
      </c>
      <c r="C61" s="43">
        <v>1724</v>
      </c>
      <c r="D61" s="43">
        <v>1739</v>
      </c>
      <c r="E61" s="43">
        <v>2403</v>
      </c>
      <c r="F61" s="278">
        <v>3016</v>
      </c>
    </row>
    <row r="62" spans="2:6" ht="15" thickBot="1">
      <c r="B62" s="277" t="s">
        <v>616</v>
      </c>
      <c r="C62" s="43">
        <v>1766</v>
      </c>
      <c r="D62" s="43">
        <v>1778</v>
      </c>
      <c r="E62" s="43">
        <v>2780</v>
      </c>
      <c r="F62" s="278">
        <v>3438</v>
      </c>
    </row>
    <row r="63" spans="2:6" ht="15" thickBot="1">
      <c r="B63" s="210" t="s">
        <v>242</v>
      </c>
      <c r="C63" s="101" t="s">
        <v>59</v>
      </c>
      <c r="D63" s="101" t="s">
        <v>59</v>
      </c>
      <c r="E63" s="101">
        <v>1872</v>
      </c>
      <c r="F63" s="278">
        <v>2381</v>
      </c>
    </row>
    <row r="64" spans="2:6">
      <c r="B64" s="87" t="s">
        <v>2036</v>
      </c>
      <c r="C64" s="87"/>
      <c r="D64" s="87"/>
      <c r="E64" s="87"/>
    </row>
    <row r="65" spans="2:14">
      <c r="B65" s="41" t="s">
        <v>617</v>
      </c>
    </row>
    <row r="66" spans="2:14">
      <c r="B66" s="1400" t="s">
        <v>2031</v>
      </c>
    </row>
    <row r="69" spans="2:14" ht="15.6">
      <c r="B69" s="83" t="s">
        <v>618</v>
      </c>
      <c r="C69" s="93"/>
      <c r="D69" s="93"/>
      <c r="E69" s="93"/>
      <c r="F69" s="93"/>
      <c r="G69" s="93"/>
      <c r="H69" s="93"/>
      <c r="I69" s="93"/>
      <c r="J69" s="93"/>
      <c r="K69" s="93"/>
    </row>
    <row r="70" spans="2:14">
      <c r="B70" s="93" t="s">
        <v>619</v>
      </c>
      <c r="C70" s="93"/>
      <c r="D70" s="93"/>
      <c r="E70" s="93"/>
      <c r="F70" s="93"/>
      <c r="G70" s="93"/>
      <c r="H70" s="93"/>
      <c r="I70" s="93"/>
      <c r="J70" s="93"/>
      <c r="K70" s="93"/>
    </row>
    <row r="71" spans="2:14">
      <c r="B71" s="85"/>
      <c r="C71" s="85">
        <v>2024</v>
      </c>
      <c r="D71" s="85">
        <v>2023</v>
      </c>
      <c r="E71" s="115">
        <v>2022</v>
      </c>
      <c r="F71" s="115">
        <v>2021</v>
      </c>
      <c r="G71" s="115">
        <v>2020</v>
      </c>
      <c r="H71" s="115">
        <v>2019</v>
      </c>
      <c r="I71" s="115">
        <v>2018</v>
      </c>
      <c r="J71" s="115">
        <v>2017</v>
      </c>
      <c r="K71" s="115">
        <v>2016</v>
      </c>
      <c r="L71" s="115">
        <v>2015</v>
      </c>
      <c r="M71" s="115">
        <v>2014</v>
      </c>
      <c r="N71" s="94"/>
    </row>
    <row r="72" spans="2:14" ht="15" thickBot="1">
      <c r="B72" s="49" t="s">
        <v>53</v>
      </c>
      <c r="C72" s="1356">
        <v>417990</v>
      </c>
      <c r="D72" s="60" t="s">
        <v>1891</v>
      </c>
      <c r="E72" s="43">
        <v>317592</v>
      </c>
      <c r="F72" s="43">
        <v>304147</v>
      </c>
      <c r="G72" s="281">
        <v>271842.36200000002</v>
      </c>
      <c r="H72" s="281">
        <v>285703</v>
      </c>
      <c r="I72" s="43">
        <v>296285</v>
      </c>
      <c r="J72" s="43">
        <v>291342</v>
      </c>
      <c r="K72" s="43">
        <v>306315</v>
      </c>
      <c r="L72" s="43">
        <v>314373</v>
      </c>
      <c r="M72" s="43">
        <v>317576</v>
      </c>
      <c r="N72" s="126"/>
    </row>
    <row r="73" spans="2:14" ht="15" thickBot="1">
      <c r="B73" s="84" t="s">
        <v>141</v>
      </c>
      <c r="C73" s="1357">
        <v>212343</v>
      </c>
      <c r="D73" s="59" t="s">
        <v>1892</v>
      </c>
      <c r="E73" s="44">
        <v>134586</v>
      </c>
      <c r="F73" s="44">
        <v>125854</v>
      </c>
      <c r="G73" s="282">
        <v>102996.75</v>
      </c>
      <c r="H73" s="282">
        <v>120895.655</v>
      </c>
      <c r="I73" s="44">
        <v>124903.049</v>
      </c>
      <c r="J73" s="44">
        <v>119131.82</v>
      </c>
      <c r="K73" s="44">
        <v>111177</v>
      </c>
      <c r="L73" s="44">
        <v>120021</v>
      </c>
      <c r="M73" s="44">
        <v>117095</v>
      </c>
      <c r="N73" s="39"/>
    </row>
    <row r="74" spans="2:14" ht="15" thickBot="1">
      <c r="B74" s="84" t="s">
        <v>116</v>
      </c>
      <c r="C74" s="1357">
        <v>84975</v>
      </c>
      <c r="D74" s="59" t="s">
        <v>1893</v>
      </c>
      <c r="E74" s="44">
        <v>74090</v>
      </c>
      <c r="F74" s="44">
        <v>74698</v>
      </c>
      <c r="G74" s="282">
        <v>73195.126999999993</v>
      </c>
      <c r="H74" s="282">
        <v>69183.221000000005</v>
      </c>
      <c r="I74" s="44">
        <v>80294.596000000005</v>
      </c>
      <c r="J74" s="44">
        <v>81079.217000000004</v>
      </c>
      <c r="K74" s="44">
        <v>87778</v>
      </c>
      <c r="L74" s="44">
        <v>75229</v>
      </c>
      <c r="M74" s="44">
        <v>74284</v>
      </c>
      <c r="N74" s="39"/>
    </row>
    <row r="75" spans="2:14" ht="15" thickBot="1">
      <c r="B75" s="84" t="s">
        <v>620</v>
      </c>
      <c r="C75" s="1357">
        <v>31609</v>
      </c>
      <c r="D75" s="59" t="s">
        <v>1894</v>
      </c>
      <c r="E75" s="44">
        <v>26625</v>
      </c>
      <c r="F75" s="44">
        <v>25298</v>
      </c>
      <c r="G75" s="282">
        <v>21816.468000000001</v>
      </c>
      <c r="H75" s="282">
        <v>22360.401999999998</v>
      </c>
      <c r="I75" s="44">
        <v>20724.882000000001</v>
      </c>
      <c r="J75" s="44">
        <v>18863.717000000001</v>
      </c>
      <c r="K75" s="44">
        <v>23772</v>
      </c>
      <c r="L75" s="44">
        <v>12146</v>
      </c>
      <c r="M75" s="44">
        <v>13835</v>
      </c>
      <c r="N75" s="39"/>
    </row>
    <row r="76" spans="2:14" ht="15" thickBot="1">
      <c r="B76" s="84" t="s">
        <v>115</v>
      </c>
      <c r="C76" s="1357">
        <v>25513</v>
      </c>
      <c r="D76" s="59" t="s">
        <v>1895</v>
      </c>
      <c r="E76" s="44">
        <v>21887</v>
      </c>
      <c r="F76" s="44">
        <v>21879</v>
      </c>
      <c r="G76" s="282">
        <v>23278.244999999999</v>
      </c>
      <c r="H76" s="282">
        <v>20653.989000000001</v>
      </c>
      <c r="I76" s="44">
        <v>21769.007000000001</v>
      </c>
      <c r="J76" s="44">
        <v>23142.248</v>
      </c>
      <c r="K76" s="44">
        <v>25378</v>
      </c>
      <c r="L76" s="44">
        <v>33562</v>
      </c>
      <c r="M76" s="44">
        <v>32470</v>
      </c>
      <c r="N76" s="39"/>
    </row>
    <row r="77" spans="2:14" ht="15" thickBot="1">
      <c r="B77" s="84" t="s">
        <v>114</v>
      </c>
      <c r="C77" s="1357">
        <v>12928</v>
      </c>
      <c r="D77" s="59" t="s">
        <v>1896</v>
      </c>
      <c r="E77" s="44">
        <v>15017</v>
      </c>
      <c r="F77" s="44">
        <v>13454</v>
      </c>
      <c r="G77" s="282">
        <v>12079.762000000001</v>
      </c>
      <c r="H77" s="282">
        <v>11524.727000000001</v>
      </c>
      <c r="I77" s="44">
        <v>12112.886</v>
      </c>
      <c r="J77" s="44">
        <v>9998.518</v>
      </c>
      <c r="K77" s="44">
        <v>11557</v>
      </c>
      <c r="L77" s="44">
        <v>9721</v>
      </c>
      <c r="M77" s="44">
        <v>9191</v>
      </c>
      <c r="N77" s="39"/>
    </row>
    <row r="78" spans="2:14" ht="15" thickBot="1">
      <c r="B78" s="84" t="s">
        <v>213</v>
      </c>
      <c r="C78" s="1357">
        <v>13909</v>
      </c>
      <c r="D78" s="59" t="s">
        <v>1897</v>
      </c>
      <c r="E78" s="44">
        <v>14340</v>
      </c>
      <c r="F78" s="44">
        <v>11042</v>
      </c>
      <c r="G78" s="282">
        <v>8071.1750000000002</v>
      </c>
      <c r="H78" s="282">
        <v>6207.866</v>
      </c>
      <c r="I78" s="44">
        <v>4015.5920000000001</v>
      </c>
      <c r="J78" s="44">
        <v>5440.4409999999998</v>
      </c>
      <c r="K78" s="44">
        <v>5793</v>
      </c>
      <c r="L78" s="44">
        <v>5498</v>
      </c>
      <c r="M78" s="44">
        <v>2455</v>
      </c>
      <c r="N78" s="39"/>
    </row>
    <row r="79" spans="2:14" ht="15" thickBot="1">
      <c r="B79" s="84" t="s">
        <v>231</v>
      </c>
      <c r="C79" s="1357">
        <v>4959</v>
      </c>
      <c r="D79" s="59" t="s">
        <v>1898</v>
      </c>
      <c r="E79" s="44">
        <v>3438</v>
      </c>
      <c r="F79" s="44">
        <v>3683</v>
      </c>
      <c r="G79" s="282">
        <v>3711.268</v>
      </c>
      <c r="H79" s="282">
        <v>3365.335</v>
      </c>
      <c r="I79" s="44">
        <v>5753.9549999999999</v>
      </c>
      <c r="J79" s="44">
        <v>7491.4290000000001</v>
      </c>
      <c r="K79" s="44">
        <v>8964</v>
      </c>
      <c r="L79" s="44">
        <v>12250</v>
      </c>
      <c r="M79" s="44">
        <v>10732</v>
      </c>
      <c r="N79" s="39"/>
    </row>
    <row r="80" spans="2:14" ht="15" thickBot="1">
      <c r="B80" s="84" t="s">
        <v>113</v>
      </c>
      <c r="C80" s="1357">
        <v>3553</v>
      </c>
      <c r="D80" s="59" t="s">
        <v>1899</v>
      </c>
      <c r="E80" s="44">
        <v>2836</v>
      </c>
      <c r="F80" s="44">
        <v>3078</v>
      </c>
      <c r="G80" s="282">
        <v>3071.1039999999998</v>
      </c>
      <c r="H80" s="282">
        <v>3831.45</v>
      </c>
      <c r="I80" s="44">
        <v>3556.5889999999999</v>
      </c>
      <c r="J80" s="44">
        <v>4417.4399999999996</v>
      </c>
      <c r="K80" s="44" t="s">
        <v>59</v>
      </c>
      <c r="L80" s="44">
        <v>5388</v>
      </c>
      <c r="M80" s="44">
        <v>5944</v>
      </c>
      <c r="N80" s="39"/>
    </row>
    <row r="81" spans="2:14" ht="15" thickBot="1">
      <c r="B81" s="84" t="s">
        <v>214</v>
      </c>
      <c r="C81" s="1365">
        <v>94</v>
      </c>
      <c r="D81" s="59">
        <v>248</v>
      </c>
      <c r="E81" s="44">
        <v>198</v>
      </c>
      <c r="F81" s="44">
        <v>280</v>
      </c>
      <c r="G81" s="282">
        <v>214</v>
      </c>
      <c r="H81" s="282">
        <v>1649.4590000000001</v>
      </c>
      <c r="I81" s="44">
        <v>2032.855</v>
      </c>
      <c r="J81" s="44">
        <v>1834.3589999999999</v>
      </c>
      <c r="K81" s="44" t="s">
        <v>59</v>
      </c>
      <c r="L81" s="44">
        <v>3198</v>
      </c>
      <c r="M81" s="44">
        <v>4598</v>
      </c>
      <c r="N81" s="39"/>
    </row>
    <row r="82" spans="2:14" ht="15" thickBot="1">
      <c r="B82" s="84" t="s">
        <v>621</v>
      </c>
      <c r="C82" s="89" t="s">
        <v>59</v>
      </c>
      <c r="D82" s="59" t="s">
        <v>1900</v>
      </c>
      <c r="E82" s="44">
        <v>2257</v>
      </c>
      <c r="F82" s="44">
        <v>2511</v>
      </c>
      <c r="G82" s="282">
        <v>2856.6149999999998</v>
      </c>
      <c r="H82" s="282">
        <v>3732.0329999999999</v>
      </c>
      <c r="I82" s="44">
        <v>4744.63</v>
      </c>
      <c r="J82" s="44">
        <v>5979.143</v>
      </c>
      <c r="K82" s="44">
        <v>5821</v>
      </c>
      <c r="L82" s="44">
        <v>4576</v>
      </c>
      <c r="M82" s="44">
        <v>4492</v>
      </c>
      <c r="N82" s="39"/>
    </row>
    <row r="83" spans="2:14" ht="15" thickBot="1">
      <c r="B83" s="84" t="s">
        <v>273</v>
      </c>
      <c r="C83" s="89" t="s">
        <v>59</v>
      </c>
      <c r="D83" s="59" t="s">
        <v>59</v>
      </c>
      <c r="E83" s="44">
        <v>1571</v>
      </c>
      <c r="F83" s="44">
        <v>1456</v>
      </c>
      <c r="G83" s="282">
        <v>1230.73</v>
      </c>
      <c r="H83" s="282">
        <v>1386.1980000000001</v>
      </c>
      <c r="I83" s="44">
        <v>2759.2669999999998</v>
      </c>
      <c r="J83" s="44">
        <v>2623.0160000000001</v>
      </c>
      <c r="K83" s="44">
        <v>3745</v>
      </c>
      <c r="L83" s="44">
        <v>4061</v>
      </c>
      <c r="M83" s="44">
        <v>6618</v>
      </c>
      <c r="N83" s="39"/>
    </row>
    <row r="84" spans="2:14" ht="15" thickBot="1">
      <c r="B84" s="84" t="s">
        <v>408</v>
      </c>
      <c r="C84" s="1143">
        <v>28107</v>
      </c>
      <c r="D84" s="1140">
        <v>20545</v>
      </c>
      <c r="E84" s="44">
        <f>E72-E73-E74-E75-E76-E77-E78-E79-E80-E81-E82-E83</f>
        <v>20747</v>
      </c>
      <c r="F84" s="44">
        <f>F72-F73-F74-F75-F76-F77-F78-F79-F80-F81-F82-F83</f>
        <v>20914</v>
      </c>
      <c r="G84" s="282">
        <v>17398.02</v>
      </c>
      <c r="H84" s="282">
        <v>20611.665000000037</v>
      </c>
      <c r="I84" s="44">
        <v>13617.691999999981</v>
      </c>
      <c r="J84" s="44">
        <v>11340.652000000002</v>
      </c>
      <c r="K84" s="44">
        <v>16484</v>
      </c>
      <c r="L84" s="44">
        <v>28657</v>
      </c>
      <c r="M84" s="44">
        <v>35289</v>
      </c>
      <c r="N84" s="39"/>
    </row>
    <row r="85" spans="2:14">
      <c r="B85" s="193" t="s">
        <v>2008</v>
      </c>
    </row>
    <row r="86" spans="2:14">
      <c r="B86" s="193"/>
      <c r="C86" s="23"/>
      <c r="D86" s="23"/>
      <c r="E86" s="23"/>
      <c r="F86" s="23"/>
    </row>
    <row r="87" spans="2:14" ht="15.6">
      <c r="B87" s="83" t="s">
        <v>70</v>
      </c>
      <c r="C87" s="83"/>
      <c r="D87" s="83"/>
      <c r="E87" s="83"/>
      <c r="F87" s="83"/>
      <c r="G87" s="83"/>
      <c r="H87" s="83"/>
      <c r="I87" s="83"/>
      <c r="J87" s="83"/>
      <c r="K87" s="83"/>
      <c r="L87" s="94"/>
    </row>
    <row r="88" spans="2:14" ht="15.6">
      <c r="B88" s="93" t="s">
        <v>622</v>
      </c>
      <c r="C88" s="83"/>
      <c r="D88" s="83"/>
      <c r="E88" s="83"/>
      <c r="F88" s="83"/>
      <c r="G88" s="83"/>
      <c r="H88" s="83"/>
      <c r="I88" s="83"/>
      <c r="J88" s="83"/>
      <c r="K88" s="83"/>
      <c r="L88" s="94"/>
    </row>
    <row r="89" spans="2:14">
      <c r="B89" s="85"/>
      <c r="C89" s="85">
        <v>2024</v>
      </c>
      <c r="D89" s="85">
        <v>2023</v>
      </c>
      <c r="E89" s="115">
        <v>2022</v>
      </c>
      <c r="F89" s="115">
        <v>2021</v>
      </c>
      <c r="G89" s="115">
        <v>2020</v>
      </c>
      <c r="H89" s="115">
        <v>2019</v>
      </c>
      <c r="I89" s="115">
        <v>2018</v>
      </c>
      <c r="J89" s="115">
        <v>2017</v>
      </c>
      <c r="K89" s="115">
        <v>2016</v>
      </c>
      <c r="L89" s="115">
        <v>2015</v>
      </c>
      <c r="M89" s="115">
        <v>2014</v>
      </c>
      <c r="N89" s="94"/>
    </row>
    <row r="90" spans="2:14" ht="15" thickBot="1">
      <c r="B90" s="84" t="s">
        <v>629</v>
      </c>
      <c r="C90" s="1141">
        <f>30661+2721</f>
        <v>33382</v>
      </c>
      <c r="D90" s="1359">
        <f>30661+2721</f>
        <v>33382</v>
      </c>
      <c r="E90" s="44">
        <f>30855+2696</f>
        <v>33551</v>
      </c>
      <c r="F90" s="44">
        <f>31339+2848</f>
        <v>34187</v>
      </c>
      <c r="G90" s="44">
        <v>34210</v>
      </c>
      <c r="H90" s="44">
        <v>47438</v>
      </c>
      <c r="I90" s="44">
        <v>53118</v>
      </c>
      <c r="J90" s="44">
        <v>53809</v>
      </c>
      <c r="K90" s="44">
        <v>53440</v>
      </c>
      <c r="L90" s="44">
        <v>60285</v>
      </c>
      <c r="M90" s="44" t="s">
        <v>59</v>
      </c>
      <c r="N90" s="39"/>
    </row>
    <row r="91" spans="2:14" ht="15" thickBot="1">
      <c r="B91" s="84" t="s">
        <v>630</v>
      </c>
      <c r="C91" s="1142">
        <f>5334+11269</f>
        <v>16603</v>
      </c>
      <c r="D91" s="1269">
        <f>5334+11269</f>
        <v>16603</v>
      </c>
      <c r="E91" s="44">
        <f>5425+11609</f>
        <v>17034</v>
      </c>
      <c r="F91" s="44">
        <f>6524+15150</f>
        <v>21674</v>
      </c>
      <c r="G91" s="44">
        <v>19681</v>
      </c>
      <c r="H91" s="44">
        <v>17035</v>
      </c>
      <c r="I91" s="44">
        <v>19115</v>
      </c>
      <c r="J91" s="44">
        <v>19677</v>
      </c>
      <c r="K91" s="44">
        <v>22566</v>
      </c>
      <c r="L91" s="44">
        <v>26018</v>
      </c>
      <c r="M91" s="44" t="s">
        <v>631</v>
      </c>
      <c r="N91" s="39"/>
    </row>
    <row r="92" spans="2:14" ht="15" thickBot="1">
      <c r="B92" s="84" t="s">
        <v>626</v>
      </c>
      <c r="C92" s="1142">
        <f>1407+9693</f>
        <v>11100</v>
      </c>
      <c r="D92" s="1269">
        <f>1407+9693</f>
        <v>11100</v>
      </c>
      <c r="E92" s="44">
        <f>1458+12165</f>
        <v>13623</v>
      </c>
      <c r="F92" s="44">
        <f>1488+10143</f>
        <v>11631</v>
      </c>
      <c r="G92" s="44">
        <v>10573</v>
      </c>
      <c r="H92" s="44">
        <v>10256</v>
      </c>
      <c r="I92" s="44">
        <v>10767</v>
      </c>
      <c r="J92" s="44">
        <v>11599</v>
      </c>
      <c r="K92" s="44">
        <v>9813</v>
      </c>
      <c r="L92" s="44">
        <v>11455</v>
      </c>
      <c r="M92" s="44">
        <v>11143</v>
      </c>
      <c r="N92" s="39"/>
    </row>
    <row r="93" spans="2:14" ht="15" thickBot="1">
      <c r="B93" s="84" t="s">
        <v>623</v>
      </c>
      <c r="C93" s="1142">
        <v>6269</v>
      </c>
      <c r="D93" s="1269">
        <f>2398+4004</f>
        <v>6402</v>
      </c>
      <c r="E93" s="44">
        <f>2929+4787</f>
        <v>7716</v>
      </c>
      <c r="F93" s="44">
        <f>2586+3445</f>
        <v>6031</v>
      </c>
      <c r="G93" s="44">
        <f>2525+2581</f>
        <v>5106</v>
      </c>
      <c r="H93" s="44">
        <v>4275</v>
      </c>
      <c r="I93" s="44">
        <v>3031</v>
      </c>
      <c r="J93" s="44">
        <v>4590</v>
      </c>
      <c r="K93" s="44">
        <v>3599</v>
      </c>
      <c r="L93" s="44">
        <v>3063</v>
      </c>
      <c r="M93" s="44" t="s">
        <v>624</v>
      </c>
      <c r="N93" s="39"/>
    </row>
    <row r="94" spans="2:14" ht="15" thickBot="1">
      <c r="B94" s="84" t="s">
        <v>627</v>
      </c>
      <c r="C94" s="1142">
        <f>404+5652</f>
        <v>6056</v>
      </c>
      <c r="D94" s="1269">
        <f>404+5652</f>
        <v>6056</v>
      </c>
      <c r="E94" s="44">
        <f>401+4673</f>
        <v>5074</v>
      </c>
      <c r="F94" s="44">
        <f>395+4773</f>
        <v>5168</v>
      </c>
      <c r="G94" s="44">
        <v>6283</v>
      </c>
      <c r="H94" s="44">
        <v>5641</v>
      </c>
      <c r="I94" s="44">
        <v>6552</v>
      </c>
      <c r="J94" s="44">
        <v>5311</v>
      </c>
      <c r="K94" s="44">
        <v>3758</v>
      </c>
      <c r="L94" s="44">
        <v>3468</v>
      </c>
      <c r="M94" s="44">
        <v>4588</v>
      </c>
      <c r="N94" s="39"/>
    </row>
    <row r="95" spans="2:14" ht="15" thickBot="1">
      <c r="B95" s="84" t="s">
        <v>628</v>
      </c>
      <c r="C95" s="1142">
        <f>207+3116</f>
        <v>3323</v>
      </c>
      <c r="D95" s="1269">
        <f>207+3116</f>
        <v>3323</v>
      </c>
      <c r="E95" s="44">
        <f>345+3309</f>
        <v>3654</v>
      </c>
      <c r="F95" s="44">
        <f>266+3069</f>
        <v>3335</v>
      </c>
      <c r="G95" s="44">
        <v>3929</v>
      </c>
      <c r="H95" s="44">
        <v>3607</v>
      </c>
      <c r="I95" s="44">
        <v>3165</v>
      </c>
      <c r="J95" s="44">
        <v>3869</v>
      </c>
      <c r="K95" s="44">
        <v>4078</v>
      </c>
      <c r="L95" s="44">
        <v>3783</v>
      </c>
      <c r="M95" s="44">
        <v>4229</v>
      </c>
      <c r="N95" s="39"/>
    </row>
    <row r="96" spans="2:14" ht="15" thickBot="1">
      <c r="B96" s="84" t="s">
        <v>74</v>
      </c>
      <c r="C96" s="1142">
        <v>1773</v>
      </c>
      <c r="D96" s="1269">
        <f>1728+258</f>
        <v>1986</v>
      </c>
      <c r="E96" s="44">
        <f>1994+264</f>
        <v>2258</v>
      </c>
      <c r="F96" s="44">
        <f>2433+204</f>
        <v>2637</v>
      </c>
      <c r="G96" s="44">
        <f>1301+305</f>
        <v>1606</v>
      </c>
      <c r="H96" s="44">
        <v>1454</v>
      </c>
      <c r="I96" s="44">
        <v>1488</v>
      </c>
      <c r="J96" s="44">
        <v>1814</v>
      </c>
      <c r="K96" s="44">
        <v>1719</v>
      </c>
      <c r="L96" s="44">
        <v>1081</v>
      </c>
      <c r="M96" s="44">
        <v>1336</v>
      </c>
      <c r="N96" s="39"/>
    </row>
    <row r="97" spans="2:14" ht="15" thickBot="1">
      <c r="B97" s="84" t="s">
        <v>625</v>
      </c>
      <c r="C97" s="1142">
        <f>1503+1146</f>
        <v>2649</v>
      </c>
      <c r="D97" s="1269">
        <f>1503+1146</f>
        <v>2649</v>
      </c>
      <c r="E97" s="44">
        <f>1799+1424</f>
        <v>3223</v>
      </c>
      <c r="F97" s="44">
        <f>1502+931</f>
        <v>2433</v>
      </c>
      <c r="G97" s="44">
        <v>2802</v>
      </c>
      <c r="H97" s="44">
        <v>2781</v>
      </c>
      <c r="I97" s="44">
        <v>2410</v>
      </c>
      <c r="J97" s="44">
        <v>2761</v>
      </c>
      <c r="K97" s="44">
        <v>2821</v>
      </c>
      <c r="L97" s="44">
        <v>4202</v>
      </c>
      <c r="M97" s="44">
        <v>3937</v>
      </c>
      <c r="N97" s="39"/>
    </row>
    <row r="98" spans="2:14">
      <c r="B98" s="155" t="s">
        <v>2009</v>
      </c>
    </row>
    <row r="100" spans="2:14">
      <c r="B100" s="134"/>
      <c r="C100" s="134"/>
      <c r="D100" s="134"/>
      <c r="E100" s="134"/>
      <c r="F100" s="134"/>
      <c r="G100" s="134"/>
    </row>
    <row r="102" spans="2:14" ht="15.6">
      <c r="B102" s="83" t="s">
        <v>632</v>
      </c>
    </row>
    <row r="103" spans="2:14">
      <c r="B103" s="93" t="s">
        <v>633</v>
      </c>
    </row>
    <row r="104" spans="2:14">
      <c r="B104" s="85"/>
      <c r="C104" s="85">
        <v>2024</v>
      </c>
      <c r="D104" s="85">
        <v>2023</v>
      </c>
      <c r="E104" s="115">
        <v>2022</v>
      </c>
      <c r="F104" s="115">
        <v>2021</v>
      </c>
      <c r="G104" s="115">
        <v>2020</v>
      </c>
      <c r="H104" s="115">
        <v>2019</v>
      </c>
      <c r="I104" s="115">
        <v>2018</v>
      </c>
      <c r="J104" s="115">
        <v>2017</v>
      </c>
      <c r="K104" s="115">
        <v>2016</v>
      </c>
      <c r="L104" s="115">
        <v>2015</v>
      </c>
      <c r="M104" s="85">
        <v>2014</v>
      </c>
      <c r="N104" s="94"/>
    </row>
    <row r="105" spans="2:14" ht="15" thickBot="1">
      <c r="B105" s="49" t="s">
        <v>634</v>
      </c>
      <c r="C105" s="49"/>
      <c r="D105" s="49"/>
      <c r="E105" s="44"/>
      <c r="F105" s="44"/>
      <c r="G105" s="44"/>
      <c r="H105" s="44"/>
      <c r="I105" s="44"/>
      <c r="J105" s="44"/>
      <c r="K105" s="44"/>
      <c r="L105" s="44"/>
      <c r="M105" s="44"/>
      <c r="N105" s="39"/>
    </row>
    <row r="106" spans="2:14" ht="15" thickBot="1">
      <c r="B106" s="84" t="s">
        <v>635</v>
      </c>
      <c r="C106" s="1143">
        <v>11075</v>
      </c>
      <c r="D106" s="1140">
        <v>10896</v>
      </c>
      <c r="E106" s="44">
        <v>10209</v>
      </c>
      <c r="F106" s="44">
        <v>9438</v>
      </c>
      <c r="G106" s="44">
        <v>8531</v>
      </c>
      <c r="H106" s="44">
        <v>8965</v>
      </c>
      <c r="I106" s="44">
        <v>9555</v>
      </c>
      <c r="J106" s="44">
        <v>10214</v>
      </c>
      <c r="K106" s="44">
        <v>10318</v>
      </c>
      <c r="L106" s="44">
        <v>10184</v>
      </c>
      <c r="M106" s="44">
        <v>9552</v>
      </c>
      <c r="N106" s="39"/>
    </row>
    <row r="107" spans="2:14" ht="15" thickBot="1">
      <c r="B107" s="84" t="s">
        <v>152</v>
      </c>
      <c r="C107" s="1143">
        <v>8657</v>
      </c>
      <c r="D107" s="1140">
        <v>12530</v>
      </c>
      <c r="E107" s="44">
        <v>12846</v>
      </c>
      <c r="F107" s="44">
        <v>11639</v>
      </c>
      <c r="G107" s="44">
        <v>8367</v>
      </c>
      <c r="H107" s="44">
        <v>9331</v>
      </c>
      <c r="I107" s="44">
        <v>9072</v>
      </c>
      <c r="J107" s="44">
        <v>7178</v>
      </c>
      <c r="K107" s="44">
        <v>8024</v>
      </c>
      <c r="L107" s="44">
        <v>8464</v>
      </c>
      <c r="M107" s="44">
        <v>7267</v>
      </c>
      <c r="N107" s="39"/>
    </row>
    <row r="108" spans="2:14" ht="15" thickBot="1">
      <c r="B108" s="84" t="s">
        <v>115</v>
      </c>
      <c r="C108" s="1143">
        <v>6285</v>
      </c>
      <c r="D108" s="1140">
        <v>6349</v>
      </c>
      <c r="E108" s="44">
        <v>6596</v>
      </c>
      <c r="F108" s="44">
        <v>5680</v>
      </c>
      <c r="G108" s="44">
        <v>4984</v>
      </c>
      <c r="H108" s="44">
        <v>6329</v>
      </c>
      <c r="I108" s="44">
        <v>6806</v>
      </c>
      <c r="J108" s="44">
        <v>6037</v>
      </c>
      <c r="K108" s="44">
        <v>6335</v>
      </c>
      <c r="L108" s="44">
        <v>7457</v>
      </c>
      <c r="M108" s="44">
        <v>7904</v>
      </c>
      <c r="N108" s="39"/>
    </row>
    <row r="109" spans="2:14" ht="15" thickBot="1">
      <c r="B109" s="84" t="s">
        <v>148</v>
      </c>
      <c r="C109" s="1143">
        <v>5678</v>
      </c>
      <c r="D109" s="1140">
        <v>5794</v>
      </c>
      <c r="E109" s="44">
        <v>5604</v>
      </c>
      <c r="F109" s="44">
        <v>5154</v>
      </c>
      <c r="G109" s="44">
        <v>4740</v>
      </c>
      <c r="H109" s="44">
        <v>4741</v>
      </c>
      <c r="I109" s="44">
        <v>5919</v>
      </c>
      <c r="J109" s="44">
        <v>5690</v>
      </c>
      <c r="K109" s="44">
        <v>6451</v>
      </c>
      <c r="L109" s="44">
        <v>7222</v>
      </c>
      <c r="M109" s="44">
        <v>7141</v>
      </c>
      <c r="N109" s="39"/>
    </row>
    <row r="110" spans="2:14" ht="15" thickBot="1">
      <c r="B110" s="84" t="s">
        <v>116</v>
      </c>
      <c r="C110" s="1143">
        <v>3935</v>
      </c>
      <c r="D110" s="1140">
        <v>3958</v>
      </c>
      <c r="E110" s="44">
        <v>3873</v>
      </c>
      <c r="F110" s="44">
        <v>3597</v>
      </c>
      <c r="G110" s="44">
        <v>3377</v>
      </c>
      <c r="H110" s="44">
        <v>3422</v>
      </c>
      <c r="I110" s="44">
        <v>4345</v>
      </c>
      <c r="J110" s="44">
        <v>4171</v>
      </c>
      <c r="K110" s="44">
        <v>4230</v>
      </c>
      <c r="L110" s="44">
        <v>5042</v>
      </c>
      <c r="M110" s="44">
        <v>4739</v>
      </c>
      <c r="N110" s="39"/>
    </row>
    <row r="111" spans="2:14" ht="15" thickBot="1">
      <c r="B111" s="84" t="s">
        <v>636</v>
      </c>
      <c r="C111" s="1143">
        <v>4150</v>
      </c>
      <c r="D111" s="1140">
        <v>4175</v>
      </c>
      <c r="E111" s="44">
        <v>4078</v>
      </c>
      <c r="F111" s="44">
        <v>4189</v>
      </c>
      <c r="G111" s="44">
        <v>4006</v>
      </c>
      <c r="H111" s="44">
        <v>4296</v>
      </c>
      <c r="I111" s="44">
        <v>4377</v>
      </c>
      <c r="J111" s="44">
        <v>3833</v>
      </c>
      <c r="K111" s="44">
        <v>7278</v>
      </c>
      <c r="L111" s="44">
        <v>8937</v>
      </c>
      <c r="M111" s="44">
        <v>5717</v>
      </c>
      <c r="N111" s="39"/>
    </row>
    <row r="112" spans="2:14" ht="15" thickBot="1">
      <c r="B112" s="84" t="s">
        <v>120</v>
      </c>
      <c r="C112" s="1143">
        <v>6594</v>
      </c>
      <c r="D112" s="1140">
        <v>7256</v>
      </c>
      <c r="E112" s="44">
        <v>6541</v>
      </c>
      <c r="F112" s="44">
        <v>5919</v>
      </c>
      <c r="G112" s="44">
        <v>5314</v>
      </c>
      <c r="H112" s="44">
        <v>3020</v>
      </c>
      <c r="I112" s="44">
        <v>3170</v>
      </c>
      <c r="J112" s="44">
        <v>3036</v>
      </c>
      <c r="K112" s="44">
        <v>2115</v>
      </c>
      <c r="L112" s="44">
        <v>3137</v>
      </c>
      <c r="M112" s="44">
        <v>2797</v>
      </c>
      <c r="N112" s="39"/>
    </row>
    <row r="113" spans="2:14" ht="15" thickBot="1">
      <c r="B113" s="84" t="s">
        <v>114</v>
      </c>
      <c r="C113" s="1143">
        <v>4443</v>
      </c>
      <c r="D113" s="1140">
        <v>3406</v>
      </c>
      <c r="E113" s="44">
        <v>3690</v>
      </c>
      <c r="F113" s="44">
        <v>3079</v>
      </c>
      <c r="G113" s="44">
        <v>2678</v>
      </c>
      <c r="H113" s="44">
        <v>2783</v>
      </c>
      <c r="I113" s="44">
        <v>3121</v>
      </c>
      <c r="J113" s="44">
        <v>2811</v>
      </c>
      <c r="K113" s="44">
        <v>3495</v>
      </c>
      <c r="L113" s="44">
        <v>5845</v>
      </c>
      <c r="M113" s="44">
        <v>3251</v>
      </c>
      <c r="N113" s="39"/>
    </row>
    <row r="114" spans="2:14" ht="15" thickBot="1">
      <c r="B114" s="84" t="s">
        <v>154</v>
      </c>
      <c r="C114" s="1143">
        <v>1911</v>
      </c>
      <c r="D114" s="1140">
        <v>2077</v>
      </c>
      <c r="E114" s="44">
        <v>2157</v>
      </c>
      <c r="F114" s="44">
        <v>1935</v>
      </c>
      <c r="G114" s="44">
        <v>1745</v>
      </c>
      <c r="H114" s="44">
        <v>2027</v>
      </c>
      <c r="I114" s="44">
        <v>1960</v>
      </c>
      <c r="J114" s="44">
        <v>2291</v>
      </c>
      <c r="K114" s="44">
        <v>3077</v>
      </c>
      <c r="L114" s="44">
        <v>2396</v>
      </c>
      <c r="M114" s="44">
        <v>1874</v>
      </c>
      <c r="N114" s="39"/>
    </row>
    <row r="115" spans="2:14" ht="15" thickBot="1">
      <c r="B115" s="84" t="s">
        <v>637</v>
      </c>
      <c r="C115" s="1143">
        <v>3182</v>
      </c>
      <c r="D115" s="1140">
        <v>3110</v>
      </c>
      <c r="E115" s="44">
        <v>2195</v>
      </c>
      <c r="F115" s="44">
        <v>2154</v>
      </c>
      <c r="G115" s="44">
        <v>1616</v>
      </c>
      <c r="H115" s="44">
        <v>2381</v>
      </c>
      <c r="I115" s="44">
        <v>2216</v>
      </c>
      <c r="J115" s="44">
        <v>2158</v>
      </c>
      <c r="K115" s="44">
        <v>2090</v>
      </c>
      <c r="L115" s="44">
        <v>2321</v>
      </c>
      <c r="M115" s="44">
        <v>1862</v>
      </c>
      <c r="N115" s="39"/>
    </row>
    <row r="116" spans="2:14" ht="15" thickBot="1">
      <c r="B116" s="84" t="s">
        <v>202</v>
      </c>
      <c r="C116" s="1143">
        <v>1890</v>
      </c>
      <c r="D116" s="1140">
        <v>2047</v>
      </c>
      <c r="E116" s="44">
        <v>2109</v>
      </c>
      <c r="F116" s="44">
        <v>1833</v>
      </c>
      <c r="G116" s="44">
        <v>2087</v>
      </c>
      <c r="H116" s="44">
        <v>1646</v>
      </c>
      <c r="I116" s="44">
        <v>1843</v>
      </c>
      <c r="J116" s="44">
        <v>1719</v>
      </c>
      <c r="K116" s="44">
        <v>1925</v>
      </c>
      <c r="L116" s="44">
        <v>2340</v>
      </c>
      <c r="M116" s="44">
        <v>1820</v>
      </c>
      <c r="N116" s="39"/>
    </row>
    <row r="117" spans="2:14" ht="15" thickBot="1">
      <c r="B117" s="84" t="s">
        <v>638</v>
      </c>
      <c r="C117" s="1143">
        <v>416</v>
      </c>
      <c r="D117" s="1140">
        <v>450</v>
      </c>
      <c r="E117" s="44">
        <v>412</v>
      </c>
      <c r="F117" s="44">
        <v>435</v>
      </c>
      <c r="G117" s="44">
        <v>461</v>
      </c>
      <c r="H117" s="44">
        <v>494</v>
      </c>
      <c r="I117" s="44">
        <v>656</v>
      </c>
      <c r="J117" s="44">
        <v>611</v>
      </c>
      <c r="K117" s="44">
        <v>930</v>
      </c>
      <c r="L117" s="44">
        <v>1131</v>
      </c>
      <c r="M117" s="44">
        <v>1201</v>
      </c>
      <c r="N117" s="39"/>
    </row>
    <row r="118" spans="2:14" ht="15" thickBot="1">
      <c r="B118" s="84" t="s">
        <v>639</v>
      </c>
      <c r="C118" s="1143">
        <v>22345</v>
      </c>
      <c r="D118" s="1140">
        <v>24609</v>
      </c>
      <c r="E118" s="44">
        <v>25411</v>
      </c>
      <c r="F118" s="44">
        <v>23176</v>
      </c>
      <c r="G118" s="44">
        <v>19131</v>
      </c>
      <c r="H118" s="44">
        <v>17310</v>
      </c>
      <c r="I118" s="44">
        <v>15279</v>
      </c>
      <c r="J118" s="44">
        <v>15557</v>
      </c>
      <c r="K118" s="44">
        <v>11425</v>
      </c>
      <c r="L118" s="44">
        <v>11435</v>
      </c>
      <c r="M118" s="44">
        <v>8110</v>
      </c>
      <c r="N118" s="39"/>
    </row>
    <row r="119" spans="2:14" ht="15" thickBot="1">
      <c r="B119" s="84" t="s">
        <v>640</v>
      </c>
      <c r="C119" s="1143">
        <v>1835</v>
      </c>
      <c r="D119" s="1140">
        <v>1373</v>
      </c>
      <c r="E119" s="44">
        <v>1484</v>
      </c>
      <c r="F119" s="44">
        <v>1788</v>
      </c>
      <c r="G119" s="44">
        <v>1888</v>
      </c>
      <c r="H119" s="44">
        <v>1313</v>
      </c>
      <c r="I119" s="44">
        <v>1212</v>
      </c>
      <c r="J119" s="44">
        <v>940</v>
      </c>
      <c r="K119" s="44">
        <v>1275</v>
      </c>
      <c r="L119" s="44">
        <v>1505</v>
      </c>
      <c r="M119" s="44">
        <v>899</v>
      </c>
      <c r="N119" s="39"/>
    </row>
    <row r="120" spans="2:14" ht="15" thickBot="1">
      <c r="B120" s="84" t="s">
        <v>641</v>
      </c>
      <c r="C120" s="1143">
        <v>27297</v>
      </c>
      <c r="D120" s="1140">
        <v>17479</v>
      </c>
      <c r="E120" s="44">
        <v>19365</v>
      </c>
      <c r="F120" s="44">
        <v>16526</v>
      </c>
      <c r="G120" s="44">
        <v>15575</v>
      </c>
      <c r="H120" s="44">
        <v>14013</v>
      </c>
      <c r="I120" s="44">
        <v>14081</v>
      </c>
      <c r="J120" s="44">
        <v>13241</v>
      </c>
      <c r="K120" s="44">
        <v>15597</v>
      </c>
      <c r="L120" s="44">
        <v>17932</v>
      </c>
      <c r="M120" s="44">
        <v>17337</v>
      </c>
      <c r="N120" s="39"/>
    </row>
    <row r="121" spans="2:14" ht="15" thickBot="1">
      <c r="B121" s="49" t="s">
        <v>642</v>
      </c>
      <c r="C121" s="49"/>
      <c r="D121" s="49"/>
      <c r="E121" s="44"/>
      <c r="F121" s="44"/>
      <c r="G121" s="44"/>
      <c r="H121" s="44"/>
      <c r="I121" s="44"/>
      <c r="J121" s="44"/>
      <c r="K121" s="44"/>
      <c r="L121" s="44"/>
      <c r="M121" s="44"/>
      <c r="N121" s="39"/>
    </row>
    <row r="122" spans="2:14" ht="15" thickBot="1">
      <c r="B122" s="84" t="s">
        <v>643</v>
      </c>
      <c r="C122" s="1143">
        <v>12752</v>
      </c>
      <c r="D122" s="1140">
        <v>13517</v>
      </c>
      <c r="E122" s="44">
        <v>13684</v>
      </c>
      <c r="F122" s="44">
        <v>14472</v>
      </c>
      <c r="G122" s="44">
        <v>12910.169</v>
      </c>
      <c r="H122" s="44">
        <v>13890.382</v>
      </c>
      <c r="I122" s="44">
        <v>15725.684999999999</v>
      </c>
      <c r="J122" s="44">
        <v>15633.296</v>
      </c>
      <c r="K122" s="44">
        <v>16471.942999999999</v>
      </c>
      <c r="L122" s="44">
        <v>18784.006000000001</v>
      </c>
      <c r="M122" s="44">
        <v>19122.956999999999</v>
      </c>
      <c r="N122" s="39"/>
    </row>
    <row r="123" spans="2:14" ht="15" thickBot="1">
      <c r="B123" s="84" t="s">
        <v>269</v>
      </c>
      <c r="C123" s="1143">
        <v>7168</v>
      </c>
      <c r="D123" s="1140">
        <v>7014</v>
      </c>
      <c r="E123" s="44">
        <v>7362</v>
      </c>
      <c r="F123" s="44">
        <v>6881</v>
      </c>
      <c r="G123" s="44">
        <v>5151.3649999999998</v>
      </c>
      <c r="H123" s="44">
        <v>5182.0789999999997</v>
      </c>
      <c r="I123" s="44">
        <v>5592.1930000000002</v>
      </c>
      <c r="J123" s="44">
        <v>6878.2610000000004</v>
      </c>
      <c r="K123" s="44">
        <v>6923.3549999999996</v>
      </c>
      <c r="L123" s="44">
        <v>8408.9500000000007</v>
      </c>
      <c r="M123" s="44">
        <v>7335.098</v>
      </c>
      <c r="N123" s="39"/>
    </row>
    <row r="124" spans="2:14" ht="15" thickBot="1">
      <c r="B124" s="84" t="s">
        <v>150</v>
      </c>
      <c r="C124" s="1143">
        <v>5426</v>
      </c>
      <c r="D124" s="1140">
        <v>4626</v>
      </c>
      <c r="E124" s="44">
        <v>4553</v>
      </c>
      <c r="F124" s="44">
        <v>5254</v>
      </c>
      <c r="G124" s="44">
        <v>5180.8329999999996</v>
      </c>
      <c r="H124" s="44">
        <v>5357.2929999999997</v>
      </c>
      <c r="I124" s="44">
        <v>6099.1120000000001</v>
      </c>
      <c r="J124" s="44">
        <v>6135.268</v>
      </c>
      <c r="K124" s="44">
        <v>6707.5370000000003</v>
      </c>
      <c r="L124" s="44">
        <v>6879.8040000000001</v>
      </c>
      <c r="M124" s="44">
        <v>6287.9359999999997</v>
      </c>
      <c r="N124" s="39"/>
    </row>
    <row r="125" spans="2:14" ht="15" thickBot="1">
      <c r="B125" s="84" t="s">
        <v>282</v>
      </c>
      <c r="C125" s="1145" t="s">
        <v>59</v>
      </c>
      <c r="D125" s="1168" t="s">
        <v>59</v>
      </c>
      <c r="E125" s="44">
        <v>3624</v>
      </c>
      <c r="F125" s="44">
        <v>3767</v>
      </c>
      <c r="G125" s="44">
        <v>3615.913</v>
      </c>
      <c r="H125" s="44">
        <v>3550.5070000000001</v>
      </c>
      <c r="I125" s="44">
        <v>4066.6039999999998</v>
      </c>
      <c r="J125" s="44">
        <v>3976.5430000000001</v>
      </c>
      <c r="K125" s="44">
        <v>3888.7809999999999</v>
      </c>
      <c r="L125" s="44">
        <v>4120.924</v>
      </c>
      <c r="M125" s="44">
        <v>3595.587</v>
      </c>
      <c r="N125" s="39"/>
    </row>
    <row r="126" spans="2:14" ht="15" thickBot="1">
      <c r="B126" s="84" t="s">
        <v>115</v>
      </c>
      <c r="C126" s="1143">
        <v>3150</v>
      </c>
      <c r="D126" s="1140">
        <v>3287</v>
      </c>
      <c r="E126" s="44">
        <v>3018</v>
      </c>
      <c r="F126" s="44">
        <v>3105</v>
      </c>
      <c r="G126" s="44">
        <v>2716.0210000000002</v>
      </c>
      <c r="H126" s="44">
        <v>2622.4569999999999</v>
      </c>
      <c r="I126" s="44">
        <v>2969.3719999999998</v>
      </c>
      <c r="J126" s="44">
        <v>3659.83</v>
      </c>
      <c r="K126" s="44">
        <v>3629.98</v>
      </c>
      <c r="L126" s="44">
        <v>4017.9769999999999</v>
      </c>
      <c r="M126" s="44">
        <v>3903.6570000000002</v>
      </c>
      <c r="N126" s="39"/>
    </row>
    <row r="127" spans="2:14" ht="15" thickBot="1">
      <c r="B127" s="84" t="s">
        <v>644</v>
      </c>
      <c r="C127" s="1143">
        <v>2919</v>
      </c>
      <c r="D127" s="1140">
        <v>2897</v>
      </c>
      <c r="E127" s="44">
        <v>3017</v>
      </c>
      <c r="F127" s="44">
        <v>3056</v>
      </c>
      <c r="G127" s="44">
        <v>2498.3760000000002</v>
      </c>
      <c r="H127" s="44">
        <v>2439.752</v>
      </c>
      <c r="I127" s="44">
        <v>2309.5680000000002</v>
      </c>
      <c r="J127" s="44">
        <v>2372.7510000000002</v>
      </c>
      <c r="K127" s="44">
        <v>2623.6190000000001</v>
      </c>
      <c r="L127" s="44" t="s">
        <v>59</v>
      </c>
      <c r="M127" s="44" t="s">
        <v>59</v>
      </c>
      <c r="N127" s="39"/>
    </row>
    <row r="128" spans="2:14" ht="15" thickBot="1">
      <c r="B128" s="84" t="s">
        <v>645</v>
      </c>
      <c r="C128" s="1143">
        <v>11852</v>
      </c>
      <c r="D128" s="1140">
        <v>12898</v>
      </c>
      <c r="E128" s="44">
        <v>12913</v>
      </c>
      <c r="F128" s="44">
        <v>13878</v>
      </c>
      <c r="G128" s="44">
        <v>11639.226000000001</v>
      </c>
      <c r="H128" s="44">
        <v>9580.2019999999993</v>
      </c>
      <c r="I128" s="44">
        <v>9707.9439999999995</v>
      </c>
      <c r="J128" s="44">
        <v>9714.0079999999998</v>
      </c>
      <c r="K128" s="44">
        <v>7227.1850000000004</v>
      </c>
      <c r="L128" s="44" t="s">
        <v>59</v>
      </c>
      <c r="M128" s="44" t="s">
        <v>59</v>
      </c>
      <c r="N128" s="39"/>
    </row>
    <row r="129" spans="2:22" ht="15" thickBot="1">
      <c r="B129" s="84" t="s">
        <v>646</v>
      </c>
      <c r="C129" s="1143">
        <v>14424</v>
      </c>
      <c r="D129" s="1140">
        <v>15272</v>
      </c>
      <c r="E129" s="44">
        <v>15252</v>
      </c>
      <c r="F129" s="44">
        <v>14654</v>
      </c>
      <c r="G129" s="44">
        <v>10016.165000000001</v>
      </c>
      <c r="H129" s="44">
        <v>10075.892</v>
      </c>
      <c r="I129" s="44">
        <v>12323.552</v>
      </c>
      <c r="J129" s="44">
        <v>12560.696</v>
      </c>
      <c r="K129" s="44">
        <v>10697.905000000001</v>
      </c>
      <c r="L129" s="44" t="s">
        <v>59</v>
      </c>
      <c r="M129" s="44" t="s">
        <v>59</v>
      </c>
      <c r="N129" s="39"/>
    </row>
    <row r="130" spans="2:22" ht="15" thickBot="1">
      <c r="B130" s="84" t="s">
        <v>647</v>
      </c>
      <c r="C130" s="1143">
        <v>11233</v>
      </c>
      <c r="D130" s="1140">
        <v>13296</v>
      </c>
      <c r="E130" s="44">
        <v>12965</v>
      </c>
      <c r="F130" s="44">
        <v>12297</v>
      </c>
      <c r="G130" s="44">
        <v>10812.235000000001</v>
      </c>
      <c r="H130" s="44">
        <v>12004.043</v>
      </c>
      <c r="I130" s="44">
        <v>11688.513999999999</v>
      </c>
      <c r="J130" s="44">
        <v>11432.576999999999</v>
      </c>
      <c r="K130" s="44">
        <v>12895.584999999999</v>
      </c>
      <c r="L130" s="44">
        <v>12762.252</v>
      </c>
      <c r="M130" s="44">
        <v>12636.585999999999</v>
      </c>
      <c r="N130" s="39"/>
    </row>
    <row r="131" spans="2:22" ht="15" thickBot="1">
      <c r="B131" s="84" t="s">
        <v>2010</v>
      </c>
      <c r="C131" s="1143">
        <v>52146</v>
      </c>
      <c r="D131" s="1140">
        <v>51125</v>
      </c>
      <c r="E131" s="44">
        <v>49779</v>
      </c>
      <c r="F131" s="44">
        <v>49570</v>
      </c>
      <c r="G131" s="44">
        <v>53681.493000000002</v>
      </c>
      <c r="H131" s="44">
        <v>46107.396000000001</v>
      </c>
      <c r="I131" s="44">
        <v>45407.336000000003</v>
      </c>
      <c r="J131" s="44">
        <v>44871.987000000001</v>
      </c>
      <c r="K131" s="44">
        <v>48502.64</v>
      </c>
      <c r="L131" s="44">
        <v>54735.603999999999</v>
      </c>
      <c r="M131" s="44">
        <v>46305.462</v>
      </c>
      <c r="N131" s="39"/>
    </row>
    <row r="132" spans="2:22" ht="15" thickBot="1">
      <c r="B132" s="84" t="s">
        <v>648</v>
      </c>
      <c r="C132" s="1143">
        <v>11176</v>
      </c>
      <c r="D132" s="1140">
        <v>13614</v>
      </c>
      <c r="E132" s="44">
        <v>15573</v>
      </c>
      <c r="F132" s="44">
        <v>13282</v>
      </c>
      <c r="G132" s="44">
        <v>12803.691000000001</v>
      </c>
      <c r="H132" s="44">
        <v>11805.91</v>
      </c>
      <c r="I132" s="44">
        <v>9529.2189999999991</v>
      </c>
      <c r="J132" s="44">
        <v>7960.3040000000001</v>
      </c>
      <c r="K132" s="44">
        <v>8130.4750000000004</v>
      </c>
      <c r="L132" s="44">
        <v>11691.766</v>
      </c>
      <c r="M132" s="44">
        <v>10979.385</v>
      </c>
      <c r="N132" s="39"/>
    </row>
    <row r="133" spans="2:22" ht="15" thickBot="1">
      <c r="B133" s="84" t="s">
        <v>129</v>
      </c>
      <c r="C133" s="22">
        <f>C134-C132-C131-C130-C129-C128-C127-C126-C124-C123-C122-C120-C119-C118-C117-C116-C115-C114-C113-C112-C111-C110-C109-C108-C107-C106</f>
        <v>8671</v>
      </c>
      <c r="D133" s="44">
        <f>D134-D132-D131-D130-D129-D128-D127-D126-D124-D123-D122-D120-D119-D118-D117-D116-D115-D114-D113-D112-D111-D110-D109-D108-D107-D106</f>
        <v>8413</v>
      </c>
      <c r="E133" s="44">
        <f>E134-E132-E131-E130-E129-E128-E127-E126-E125-E124-E123-E122-E120-E119-E118-E117-E116-E115-E114-E113-E112-E111-E110-E109-E108-E107-E106</f>
        <v>4673</v>
      </c>
      <c r="F133" s="44">
        <f>F134-F132-F131-F130-F129-F128-F127-F126-F125-F124-F123-F122-F120-F119-F118-F117-F116-F115-F114-F113-F112-F111-F110-F109-F108-F107-F106</f>
        <v>4665</v>
      </c>
      <c r="G133" s="44">
        <f>G134-G132-G131-G130-G129-G128-G127-G126-G125-G124-G123-G122-G120-G119-G118-G117-G116-G115-G114-G113-G112-G111-G110-G109-G108-G107-G106</f>
        <v>4132.5130000000063</v>
      </c>
      <c r="H133" s="44">
        <v>5988.0869999999995</v>
      </c>
      <c r="I133" s="44">
        <v>4155.9009999999835</v>
      </c>
      <c r="J133" s="44">
        <v>4577.4789999999921</v>
      </c>
      <c r="K133" s="44">
        <v>4117.9950000000244</v>
      </c>
      <c r="L133" s="44">
        <v>409.71699999997509</v>
      </c>
      <c r="M133" s="44">
        <v>217.33199999999488</v>
      </c>
      <c r="N133" s="39"/>
    </row>
    <row r="134" spans="2:22" ht="21" thickBot="1">
      <c r="B134" s="49" t="s">
        <v>649</v>
      </c>
      <c r="C134" s="1144">
        <v>250610</v>
      </c>
      <c r="D134" s="1207">
        <v>251468</v>
      </c>
      <c r="E134" s="43">
        <v>252983</v>
      </c>
      <c r="F134" s="43">
        <v>241423</v>
      </c>
      <c r="G134" s="43">
        <v>219658</v>
      </c>
      <c r="H134" s="43">
        <v>210675</v>
      </c>
      <c r="I134" s="43">
        <v>213187</v>
      </c>
      <c r="J134" s="43">
        <v>209260</v>
      </c>
      <c r="K134" s="43">
        <v>216382</v>
      </c>
      <c r="L134" s="43">
        <v>217159</v>
      </c>
      <c r="M134" s="43">
        <v>191855</v>
      </c>
      <c r="N134" s="126"/>
      <c r="O134" s="23"/>
      <c r="P134" s="23"/>
      <c r="Q134" s="23"/>
      <c r="R134" s="23"/>
      <c r="S134" s="23"/>
      <c r="T134" s="23"/>
      <c r="U134" s="23"/>
      <c r="V134" s="23"/>
    </row>
    <row r="135" spans="2:22" ht="15" thickBot="1">
      <c r="B135" s="49" t="s">
        <v>650</v>
      </c>
      <c r="C135" s="1144">
        <v>92372</v>
      </c>
      <c r="D135" s="1207">
        <v>92750</v>
      </c>
      <c r="E135" s="43">
        <v>96145</v>
      </c>
      <c r="F135" s="43">
        <v>96856</v>
      </c>
      <c r="G135" s="281">
        <v>91573</v>
      </c>
      <c r="H135" s="281">
        <v>94202</v>
      </c>
      <c r="I135" s="43">
        <v>84614</v>
      </c>
      <c r="J135" s="43">
        <v>87910</v>
      </c>
      <c r="K135" s="43">
        <v>89744</v>
      </c>
      <c r="L135" s="43">
        <v>98342</v>
      </c>
      <c r="M135" s="43">
        <v>97223</v>
      </c>
      <c r="N135" s="126"/>
    </row>
    <row r="136" spans="2:22">
      <c r="B136" s="193" t="s">
        <v>2008</v>
      </c>
    </row>
    <row r="139" spans="2:22" ht="17.399999999999999">
      <c r="B139" s="286" t="s">
        <v>2011</v>
      </c>
    </row>
    <row r="140" spans="2:22">
      <c r="B140" s="81" t="s">
        <v>655</v>
      </c>
    </row>
    <row r="141" spans="2:22" ht="28.8">
      <c r="L141" s="283" t="s">
        <v>56</v>
      </c>
      <c r="M141">
        <v>1000</v>
      </c>
    </row>
    <row r="142" spans="2:22">
      <c r="L142" s="284"/>
      <c r="M142" t="s">
        <v>1901</v>
      </c>
    </row>
    <row r="143" spans="2:22">
      <c r="L143" s="283" t="s">
        <v>651</v>
      </c>
      <c r="M143">
        <v>65</v>
      </c>
    </row>
    <row r="144" spans="2:22">
      <c r="L144" s="283" t="s">
        <v>53</v>
      </c>
      <c r="M144">
        <v>231</v>
      </c>
    </row>
    <row r="145" spans="12:13" ht="43.2">
      <c r="L145" s="283" t="s">
        <v>652</v>
      </c>
      <c r="M145">
        <v>221</v>
      </c>
    </row>
    <row r="146" spans="12:13">
      <c r="L146" s="5" t="s">
        <v>70</v>
      </c>
      <c r="M146">
        <v>796</v>
      </c>
    </row>
    <row r="147" spans="12:13" ht="28.8">
      <c r="L147" s="283" t="s">
        <v>653</v>
      </c>
      <c r="M147">
        <v>1240</v>
      </c>
    </row>
    <row r="148" spans="12:13">
      <c r="L148" t="s">
        <v>654</v>
      </c>
    </row>
    <row r="163" spans="2:12" ht="15.6">
      <c r="B163" s="83" t="s">
        <v>2014</v>
      </c>
    </row>
    <row r="164" spans="2:12">
      <c r="B164" s="93" t="s">
        <v>656</v>
      </c>
    </row>
    <row r="165" spans="2:12">
      <c r="B165" s="85"/>
      <c r="C165" s="85">
        <v>2024</v>
      </c>
      <c r="D165" s="85">
        <v>2023</v>
      </c>
      <c r="E165" s="115">
        <v>2022</v>
      </c>
      <c r="F165" s="115">
        <v>2021</v>
      </c>
      <c r="G165" s="115">
        <v>2020</v>
      </c>
      <c r="H165" s="115">
        <v>2019</v>
      </c>
      <c r="I165" s="115">
        <v>2018</v>
      </c>
      <c r="J165" s="115">
        <v>2017</v>
      </c>
      <c r="K165" s="115">
        <v>2016</v>
      </c>
      <c r="L165" s="115">
        <v>2015</v>
      </c>
    </row>
    <row r="166" spans="2:12" ht="15" thickBot="1">
      <c r="B166" s="84" t="s">
        <v>657</v>
      </c>
      <c r="C166" s="1140">
        <v>1240</v>
      </c>
      <c r="D166" s="1140">
        <v>1172</v>
      </c>
      <c r="E166" s="288">
        <v>1146</v>
      </c>
      <c r="F166" s="288">
        <v>1030</v>
      </c>
      <c r="G166" s="288">
        <v>904</v>
      </c>
      <c r="H166" s="288">
        <v>853</v>
      </c>
      <c r="I166" s="288">
        <v>834</v>
      </c>
      <c r="J166" s="288">
        <v>790</v>
      </c>
      <c r="K166" s="95">
        <v>812</v>
      </c>
      <c r="L166" s="95">
        <v>786</v>
      </c>
    </row>
    <row r="167" spans="2:12" ht="15" thickBot="1">
      <c r="B167" s="84" t="s">
        <v>356</v>
      </c>
      <c r="C167" s="1140">
        <v>796</v>
      </c>
      <c r="D167" s="1140">
        <v>750</v>
      </c>
      <c r="E167" s="288">
        <v>730</v>
      </c>
      <c r="F167" s="288">
        <v>747</v>
      </c>
      <c r="G167" s="288">
        <v>717</v>
      </c>
      <c r="H167" s="288">
        <v>680</v>
      </c>
      <c r="I167" s="288">
        <v>661</v>
      </c>
      <c r="J167" s="288">
        <v>660</v>
      </c>
      <c r="K167" s="95">
        <v>670</v>
      </c>
      <c r="L167" s="95">
        <v>760</v>
      </c>
    </row>
    <row r="168" spans="2:12" ht="15" thickBot="1">
      <c r="B168" s="84" t="s">
        <v>652</v>
      </c>
      <c r="C168" s="1140">
        <v>221</v>
      </c>
      <c r="D168" s="1140">
        <v>217</v>
      </c>
      <c r="E168" s="288">
        <v>214</v>
      </c>
      <c r="F168" s="288">
        <v>227</v>
      </c>
      <c r="G168" s="288">
        <v>230</v>
      </c>
      <c r="H168" s="288">
        <v>208</v>
      </c>
      <c r="I168" s="288">
        <v>205</v>
      </c>
      <c r="J168" s="288">
        <v>204</v>
      </c>
      <c r="K168" s="95">
        <v>192</v>
      </c>
      <c r="L168" s="95">
        <v>180</v>
      </c>
    </row>
    <row r="169" spans="2:12" ht="15" thickBot="1">
      <c r="B169" s="84" t="s">
        <v>53</v>
      </c>
      <c r="C169" s="1140">
        <v>231</v>
      </c>
      <c r="D169" s="1140">
        <v>192</v>
      </c>
      <c r="E169" s="288">
        <v>178</v>
      </c>
      <c r="F169" s="288">
        <v>161</v>
      </c>
      <c r="G169" s="288">
        <v>138</v>
      </c>
      <c r="H169" s="288">
        <v>134</v>
      </c>
      <c r="I169" s="288">
        <v>133</v>
      </c>
      <c r="J169" s="288">
        <v>127</v>
      </c>
      <c r="K169" s="95">
        <v>140</v>
      </c>
      <c r="L169" s="95">
        <v>147</v>
      </c>
    </row>
    <row r="170" spans="2:12" ht="15" thickBot="1">
      <c r="B170" s="84" t="s">
        <v>403</v>
      </c>
      <c r="C170" s="1140">
        <v>65</v>
      </c>
      <c r="D170" s="1140">
        <v>63</v>
      </c>
      <c r="E170" s="288">
        <v>62</v>
      </c>
      <c r="F170" s="288">
        <v>57</v>
      </c>
      <c r="G170" s="288">
        <v>52</v>
      </c>
      <c r="H170" s="288">
        <v>51</v>
      </c>
      <c r="I170" s="288">
        <v>44</v>
      </c>
      <c r="J170" s="288">
        <v>45</v>
      </c>
      <c r="K170" s="95">
        <v>44</v>
      </c>
      <c r="L170" s="95">
        <v>50</v>
      </c>
    </row>
    <row r="171" spans="2:12">
      <c r="B171" s="193" t="s">
        <v>2013</v>
      </c>
    </row>
    <row r="172" spans="2:12">
      <c r="B172" s="193" t="s">
        <v>2012</v>
      </c>
    </row>
    <row r="173" spans="2:12">
      <c r="D173" s="23">
        <f>E166+E168+E169</f>
        <v>1538</v>
      </c>
      <c r="E173" s="23">
        <f>F166+F168+F169</f>
        <v>1418</v>
      </c>
    </row>
    <row r="175" spans="2:12">
      <c r="C175" s="23"/>
    </row>
    <row r="182" spans="2:8">
      <c r="C182">
        <v>2024</v>
      </c>
      <c r="D182">
        <v>2023</v>
      </c>
      <c r="E182">
        <v>2022</v>
      </c>
      <c r="F182">
        <v>2021</v>
      </c>
      <c r="G182">
        <v>2020</v>
      </c>
    </row>
    <row r="183" spans="2:8">
      <c r="B183" s="867" t="s">
        <v>658</v>
      </c>
      <c r="C183" s="16">
        <v>84842013</v>
      </c>
      <c r="D183" s="16">
        <v>80964728</v>
      </c>
      <c r="E183" s="16">
        <v>79126227</v>
      </c>
      <c r="F183" s="16">
        <v>103993581</v>
      </c>
      <c r="G183" s="285">
        <v>102427293</v>
      </c>
      <c r="H183" s="72"/>
    </row>
    <row r="184" spans="2:8">
      <c r="B184" s="283" t="s">
        <v>659</v>
      </c>
      <c r="C184" s="16">
        <v>40061202</v>
      </c>
      <c r="D184" s="16">
        <v>28361858</v>
      </c>
      <c r="E184" s="16">
        <v>33642069</v>
      </c>
      <c r="F184" s="16">
        <v>32760509</v>
      </c>
      <c r="G184" s="285">
        <v>29092918</v>
      </c>
      <c r="H184" s="72"/>
    </row>
    <row r="185" spans="2:8">
      <c r="B185" s="283" t="s">
        <v>660</v>
      </c>
      <c r="C185" s="16">
        <v>207331646</v>
      </c>
      <c r="D185" s="16">
        <v>205424433</v>
      </c>
      <c r="E185" s="16">
        <v>197092348</v>
      </c>
      <c r="F185" s="16">
        <v>187978547</v>
      </c>
      <c r="G185" s="285">
        <v>176768616</v>
      </c>
      <c r="H185" s="72"/>
    </row>
    <row r="186" spans="2:8">
      <c r="B186" s="283" t="s">
        <v>661</v>
      </c>
      <c r="C186" s="16">
        <v>133975039</v>
      </c>
      <c r="D186" s="16">
        <v>133543433</v>
      </c>
      <c r="E186" s="16">
        <v>142222018</v>
      </c>
      <c r="F186" s="16">
        <v>130782315</v>
      </c>
      <c r="G186" s="285">
        <v>127489439</v>
      </c>
      <c r="H186" s="72"/>
    </row>
    <row r="187" spans="2:8">
      <c r="B187" s="283" t="s">
        <v>662</v>
      </c>
      <c r="C187" s="16">
        <v>111973939</v>
      </c>
      <c r="D187" s="16">
        <v>113940228</v>
      </c>
      <c r="E187" s="16">
        <v>110041001</v>
      </c>
      <c r="F187" s="16">
        <v>119668772</v>
      </c>
      <c r="G187" s="285">
        <v>118332884</v>
      </c>
      <c r="H187" s="72"/>
    </row>
    <row r="188" spans="2:8">
      <c r="B188" s="283" t="s">
        <v>663</v>
      </c>
      <c r="C188" s="16">
        <v>69520022</v>
      </c>
      <c r="D188" s="16">
        <v>67908280</v>
      </c>
      <c r="E188" s="16">
        <v>69295499</v>
      </c>
      <c r="F188" s="16">
        <v>67404872</v>
      </c>
      <c r="G188" s="285">
        <v>65322752</v>
      </c>
      <c r="H188" s="72"/>
    </row>
    <row r="189" spans="2:8">
      <c r="B189" s="283" t="s">
        <v>664</v>
      </c>
      <c r="C189" s="16">
        <v>53693800</v>
      </c>
      <c r="D189" s="16">
        <v>44949086</v>
      </c>
      <c r="E189" s="16">
        <v>36794078</v>
      </c>
      <c r="F189" s="16">
        <v>40768571</v>
      </c>
      <c r="G189" s="285">
        <v>36934566</v>
      </c>
      <c r="H189" s="72"/>
    </row>
    <row r="190" spans="2:8" ht="28.8">
      <c r="B190" s="283" t="s">
        <v>665</v>
      </c>
      <c r="C190" s="16">
        <v>29175370</v>
      </c>
      <c r="D190" s="16">
        <v>26697618</v>
      </c>
      <c r="E190" s="16">
        <v>26754625</v>
      </c>
      <c r="F190" s="16">
        <v>27150678</v>
      </c>
      <c r="G190" s="285">
        <v>25289999</v>
      </c>
      <c r="H190" s="72"/>
    </row>
    <row r="191" spans="2:8">
      <c r="B191" s="283" t="s">
        <v>666</v>
      </c>
      <c r="C191" s="16">
        <v>65546585</v>
      </c>
      <c r="D191" s="16">
        <v>47787163</v>
      </c>
      <c r="E191" s="16">
        <v>39814640</v>
      </c>
      <c r="F191" s="16">
        <v>36949636</v>
      </c>
      <c r="G191" s="285">
        <v>35266765</v>
      </c>
      <c r="H191" s="72"/>
    </row>
    <row r="192" spans="2:8">
      <c r="C192" s="16"/>
      <c r="D192" s="16"/>
      <c r="E192" s="16"/>
      <c r="F192" s="16"/>
      <c r="G192" s="16"/>
    </row>
    <row r="193" spans="2:9">
      <c r="B193" s="283" t="s">
        <v>1631</v>
      </c>
      <c r="C193" s="16">
        <v>796119615</v>
      </c>
      <c r="D193" s="16">
        <v>749576837</v>
      </c>
      <c r="E193" s="16">
        <v>734782505</v>
      </c>
      <c r="F193" s="16">
        <v>747457481</v>
      </c>
      <c r="G193" s="285">
        <v>716925232</v>
      </c>
    </row>
    <row r="194" spans="2:9">
      <c r="B194" s="98"/>
      <c r="C194" s="98"/>
      <c r="D194" s="98"/>
      <c r="E194" s="72"/>
      <c r="F194" s="72"/>
    </row>
    <row r="195" spans="2:9">
      <c r="B195" t="s">
        <v>1629</v>
      </c>
      <c r="C195">
        <f>C193/D193</f>
        <v>1.0620920707559163</v>
      </c>
      <c r="D195">
        <f>D193/E193</f>
        <v>1.020134300829604</v>
      </c>
      <c r="E195">
        <f>E193/F193</f>
        <v>0.9830425458006754</v>
      </c>
      <c r="F195">
        <f>F193/G193</f>
        <v>1.0425877729464541</v>
      </c>
    </row>
    <row r="196" spans="2:9">
      <c r="C196" s="134">
        <f>((100/D193)*C193)-100</f>
        <v>6.2092070755916353</v>
      </c>
      <c r="D196" s="134">
        <f>((100/D193)*E193)-100</f>
        <v>-1.9736911907804853</v>
      </c>
      <c r="E196" s="134" t="e">
        <f>((100/#REF!)*G193)-100</f>
        <v>#REF!</v>
      </c>
    </row>
    <row r="197" spans="2:9">
      <c r="C197" s="1071"/>
    </row>
    <row r="202" spans="2:9">
      <c r="I202" s="289" t="s">
        <v>2015</v>
      </c>
    </row>
    <row r="205" spans="2:9" ht="15.6">
      <c r="B205" s="86" t="s">
        <v>2016</v>
      </c>
      <c r="C205" s="7"/>
      <c r="D205" s="7"/>
    </row>
    <row r="206" spans="2:9">
      <c r="B206" s="290" t="s">
        <v>667</v>
      </c>
      <c r="C206" s="7"/>
      <c r="D206" s="7"/>
    </row>
    <row r="207" spans="2:9">
      <c r="B207" s="290" t="s">
        <v>1903</v>
      </c>
      <c r="C207" s="7"/>
      <c r="D207" s="7"/>
    </row>
    <row r="208" spans="2:9">
      <c r="B208" s="290"/>
      <c r="C208" s="7"/>
      <c r="D208" s="7"/>
    </row>
    <row r="209" spans="2:4">
      <c r="B209" s="159" t="s">
        <v>70</v>
      </c>
      <c r="C209" s="1555" t="s">
        <v>668</v>
      </c>
      <c r="D209" s="1555"/>
    </row>
    <row r="210" spans="2:4">
      <c r="B210" s="159"/>
      <c r="C210" s="162" t="s">
        <v>669</v>
      </c>
      <c r="D210" s="162" t="s">
        <v>670</v>
      </c>
    </row>
    <row r="211" spans="2:4">
      <c r="B211" s="3" t="s">
        <v>3</v>
      </c>
      <c r="C211" s="291">
        <v>15334</v>
      </c>
      <c r="D211" s="292">
        <v>100</v>
      </c>
    </row>
    <row r="212" spans="2:4">
      <c r="B212" s="290" t="s">
        <v>671</v>
      </c>
      <c r="C212" s="293">
        <v>6695</v>
      </c>
      <c r="D212" s="294">
        <f t="shared" ref="D212:D220" si="0">($D$211/$C$211)*C212</f>
        <v>43.661145167601404</v>
      </c>
    </row>
    <row r="213" spans="2:4">
      <c r="B213" s="290" t="s">
        <v>674</v>
      </c>
      <c r="C213" s="293">
        <v>1843</v>
      </c>
      <c r="D213" s="294">
        <f t="shared" si="0"/>
        <v>12.019042650319552</v>
      </c>
    </row>
    <row r="214" spans="2:4">
      <c r="B214" s="290" t="s">
        <v>672</v>
      </c>
      <c r="C214" s="293">
        <v>1725</v>
      </c>
      <c r="D214" s="294">
        <f t="shared" si="0"/>
        <v>11.249510890830834</v>
      </c>
    </row>
    <row r="215" spans="2:4">
      <c r="B215" s="290" t="s">
        <v>673</v>
      </c>
      <c r="C215" s="293">
        <v>2152</v>
      </c>
      <c r="D215" s="294">
        <f t="shared" si="0"/>
        <v>14.034172427285769</v>
      </c>
    </row>
    <row r="216" spans="2:4">
      <c r="B216" s="290" t="s">
        <v>675</v>
      </c>
      <c r="C216" s="293">
        <v>356</v>
      </c>
      <c r="D216" s="294">
        <f t="shared" si="0"/>
        <v>2.3216381896439287</v>
      </c>
    </row>
    <row r="217" spans="2:4">
      <c r="B217" s="290" t="s">
        <v>676</v>
      </c>
      <c r="C217" s="293">
        <v>287</v>
      </c>
      <c r="D217" s="294">
        <f t="shared" si="0"/>
        <v>1.8716577540106951</v>
      </c>
    </row>
    <row r="218" spans="2:4">
      <c r="B218" s="290" t="s">
        <v>677</v>
      </c>
      <c r="C218" s="293">
        <v>160</v>
      </c>
      <c r="D218" s="294">
        <f t="shared" si="0"/>
        <v>1.0434328942219904</v>
      </c>
    </row>
    <row r="219" spans="2:4">
      <c r="B219" s="290" t="s">
        <v>678</v>
      </c>
      <c r="C219" s="293">
        <v>34</v>
      </c>
      <c r="D219" s="294">
        <f t="shared" si="0"/>
        <v>0.22172949002217293</v>
      </c>
    </row>
    <row r="220" spans="2:4">
      <c r="B220" s="290" t="s">
        <v>129</v>
      </c>
      <c r="C220" s="293">
        <f>C211-C212-C213-C214-C215-C216-C217-C218-C219</f>
        <v>2082</v>
      </c>
      <c r="D220" s="294">
        <f t="shared" si="0"/>
        <v>13.57767053606365</v>
      </c>
    </row>
    <row r="221" spans="2:4">
      <c r="C221" s="4"/>
      <c r="D221" s="294"/>
    </row>
    <row r="222" spans="2:4">
      <c r="B222" s="41" t="s">
        <v>2017</v>
      </c>
    </row>
    <row r="225" spans="2:15" ht="15.6">
      <c r="B225" s="86" t="s">
        <v>679</v>
      </c>
    </row>
    <row r="228" spans="2:15" ht="15.6">
      <c r="B228" s="295" t="s">
        <v>581</v>
      </c>
      <c r="C228" s="295"/>
      <c r="D228" s="295"/>
      <c r="E228" s="295"/>
      <c r="F228" s="295"/>
      <c r="G228" s="295"/>
      <c r="H228" s="295"/>
      <c r="I228" s="295"/>
      <c r="J228" s="295"/>
      <c r="K228" s="295"/>
    </row>
    <row r="229" spans="2:15" ht="15.6">
      <c r="B229" s="296" t="s">
        <v>582</v>
      </c>
      <c r="C229" s="295"/>
      <c r="D229" s="295"/>
      <c r="E229" s="295"/>
      <c r="F229" s="295"/>
      <c r="G229" s="295"/>
      <c r="H229" s="295"/>
      <c r="I229" s="295"/>
      <c r="J229" s="295"/>
      <c r="K229" s="295"/>
    </row>
    <row r="230" spans="2:15">
      <c r="B230" s="297"/>
      <c r="C230" s="298">
        <v>2024</v>
      </c>
      <c r="D230" s="298">
        <v>2023</v>
      </c>
      <c r="E230" s="298">
        <v>2022</v>
      </c>
      <c r="F230" s="298">
        <v>2021</v>
      </c>
      <c r="G230" s="298">
        <v>2020</v>
      </c>
      <c r="H230" s="298">
        <v>2019</v>
      </c>
      <c r="I230" s="298">
        <v>2018</v>
      </c>
      <c r="J230" s="298">
        <v>2017</v>
      </c>
      <c r="K230" s="298">
        <v>2016</v>
      </c>
      <c r="L230" s="298">
        <v>2015</v>
      </c>
      <c r="M230" s="56"/>
    </row>
    <row r="231" spans="2:15" ht="15" thickBot="1">
      <c r="B231" s="299" t="s">
        <v>680</v>
      </c>
      <c r="C231" s="1335">
        <v>59942.533339999994</v>
      </c>
      <c r="D231" s="1360">
        <v>57255</v>
      </c>
      <c r="E231" s="43">
        <f>E232+E233</f>
        <v>56291</v>
      </c>
      <c r="F231" s="43">
        <v>47464.276655111178</v>
      </c>
      <c r="G231" s="43">
        <v>34803</v>
      </c>
      <c r="H231" s="43">
        <v>34968.173678895997</v>
      </c>
      <c r="I231" s="43">
        <v>36547.060938930292</v>
      </c>
      <c r="J231" s="43">
        <v>36381.475612994604</v>
      </c>
      <c r="K231" s="43">
        <v>37180</v>
      </c>
      <c r="L231" s="43">
        <v>37055.313204146012</v>
      </c>
      <c r="M231" s="126"/>
      <c r="O231" s="134"/>
    </row>
    <row r="232" spans="2:15" ht="21" thickBot="1">
      <c r="B232" s="300" t="s">
        <v>681</v>
      </c>
      <c r="C232" s="1336">
        <v>55276.065969999996</v>
      </c>
      <c r="D232" s="1361">
        <v>52402</v>
      </c>
      <c r="E232" s="44">
        <v>51119</v>
      </c>
      <c r="F232" s="44">
        <v>43666.187536991623</v>
      </c>
      <c r="G232" s="44">
        <v>32892</v>
      </c>
      <c r="H232" s="44">
        <v>33140.278020868398</v>
      </c>
      <c r="I232" s="44">
        <v>35402.948868837455</v>
      </c>
      <c r="J232" s="44">
        <v>35036.454811011776</v>
      </c>
      <c r="K232" s="44">
        <v>34316</v>
      </c>
      <c r="L232" s="44">
        <v>34933.929698062188</v>
      </c>
      <c r="M232" s="39"/>
      <c r="O232" s="134"/>
    </row>
    <row r="233" spans="2:15" ht="21" thickBot="1">
      <c r="B233" s="300" t="s">
        <v>682</v>
      </c>
      <c r="C233" s="1336">
        <v>4666.4673699999994</v>
      </c>
      <c r="D233" s="1361">
        <v>4853</v>
      </c>
      <c r="E233" s="44">
        <v>5172</v>
      </c>
      <c r="F233" s="44">
        <v>3798.0891181195566</v>
      </c>
      <c r="G233" s="44">
        <v>1911</v>
      </c>
      <c r="H233" s="44">
        <v>1827.8956580276001</v>
      </c>
      <c r="I233" s="44">
        <v>1144.1120700928468</v>
      </c>
      <c r="J233" s="44">
        <v>1345.0208019828274</v>
      </c>
      <c r="K233" s="44">
        <v>2864</v>
      </c>
      <c r="L233" s="44">
        <v>2121.3835060838219</v>
      </c>
      <c r="M233" s="39"/>
      <c r="O233" s="134"/>
    </row>
    <row r="234" spans="2:15" ht="15" thickBot="1">
      <c r="B234" s="299" t="s">
        <v>683</v>
      </c>
      <c r="C234" s="1335">
        <v>261298.15209999998</v>
      </c>
      <c r="D234" s="1360">
        <v>254559</v>
      </c>
      <c r="E234" s="43">
        <f>E235+E236+E237+E238+E239</f>
        <v>276980</v>
      </c>
      <c r="F234" s="43">
        <v>248088.27259660096</v>
      </c>
      <c r="G234" s="43">
        <v>202936</v>
      </c>
      <c r="H234" s="43">
        <v>201905.34702120497</v>
      </c>
      <c r="I234" s="43">
        <v>180347.73898260755</v>
      </c>
      <c r="J234" s="43">
        <v>178854.48614676466</v>
      </c>
      <c r="K234" s="43">
        <v>164393.61532207066</v>
      </c>
      <c r="L234" s="43">
        <v>163099.89634970707</v>
      </c>
      <c r="M234" s="126"/>
      <c r="O234" s="134"/>
    </row>
    <row r="235" spans="2:15" ht="15" thickBot="1">
      <c r="B235" s="300" t="s">
        <v>684</v>
      </c>
      <c r="C235" s="1336">
        <v>43773.884469999997</v>
      </c>
      <c r="D235" s="1361">
        <v>43921</v>
      </c>
      <c r="E235" s="44">
        <v>44418</v>
      </c>
      <c r="F235" s="44">
        <v>41000.696710915698</v>
      </c>
      <c r="G235" s="44">
        <v>33848</v>
      </c>
      <c r="H235" s="44">
        <v>34807.209020531802</v>
      </c>
      <c r="I235" s="44">
        <v>28780.598927684059</v>
      </c>
      <c r="J235" s="44">
        <v>26671.169336992123</v>
      </c>
      <c r="K235" s="44">
        <v>25277</v>
      </c>
      <c r="L235" s="44">
        <v>24533.53492564218</v>
      </c>
      <c r="M235" s="39"/>
      <c r="O235" s="134"/>
    </row>
    <row r="236" spans="2:15" ht="15" thickBot="1">
      <c r="B236" s="300" t="s">
        <v>685</v>
      </c>
      <c r="C236" s="1336">
        <v>29548.13421</v>
      </c>
      <c r="D236" s="1361">
        <v>28578</v>
      </c>
      <c r="E236" s="44">
        <v>25226</v>
      </c>
      <c r="F236" s="44">
        <v>19738.026549420814</v>
      </c>
      <c r="G236" s="44">
        <v>17684</v>
      </c>
      <c r="H236" s="44">
        <v>15664.553349040727</v>
      </c>
      <c r="I236" s="44">
        <v>14153.610566235124</v>
      </c>
      <c r="J236" s="44">
        <v>14355.533327432062</v>
      </c>
      <c r="K236" s="44">
        <v>12309</v>
      </c>
      <c r="L236" s="44">
        <v>11970.040558810275</v>
      </c>
      <c r="M236" s="39"/>
      <c r="O236" s="134"/>
    </row>
    <row r="237" spans="2:15" ht="15" thickBot="1">
      <c r="B237" s="300" t="s">
        <v>686</v>
      </c>
      <c r="C237" s="1336">
        <v>2742.0461599999999</v>
      </c>
      <c r="D237" s="1361">
        <v>2757</v>
      </c>
      <c r="E237" s="44">
        <v>3335</v>
      </c>
      <c r="F237" s="44">
        <v>2966.2052929737038</v>
      </c>
      <c r="G237" s="44">
        <v>2648</v>
      </c>
      <c r="H237" s="44">
        <v>2716.5183439919219</v>
      </c>
      <c r="I237" s="44">
        <v>2539.6626127893292</v>
      </c>
      <c r="J237" s="44">
        <v>3267.8542976011331</v>
      </c>
      <c r="K237" s="44">
        <v>3092.5295871352428</v>
      </c>
      <c r="L237" s="44">
        <v>3427.3708877872918</v>
      </c>
      <c r="M237" s="39"/>
      <c r="O237" s="134"/>
    </row>
    <row r="238" spans="2:15" ht="15" thickBot="1">
      <c r="B238" s="300" t="s">
        <v>687</v>
      </c>
      <c r="C238" s="1336">
        <v>7608.9933199999996</v>
      </c>
      <c r="D238" s="1361">
        <v>5264</v>
      </c>
      <c r="E238" s="44">
        <v>4245</v>
      </c>
      <c r="F238" s="44">
        <v>3291.1380738987059</v>
      </c>
      <c r="G238" s="44">
        <v>2775</v>
      </c>
      <c r="H238" s="44">
        <v>2602.7929989902391</v>
      </c>
      <c r="I238" s="44">
        <v>2464.6920360925851</v>
      </c>
      <c r="J238" s="44">
        <v>2170.2974240948924</v>
      </c>
      <c r="K238" s="44">
        <v>2359.0857349354051</v>
      </c>
      <c r="L238" s="44">
        <v>2535.5799909869311</v>
      </c>
      <c r="M238" s="39"/>
      <c r="O238" s="134"/>
    </row>
    <row r="239" spans="2:15" ht="21" thickBot="1">
      <c r="B239" s="302" t="s">
        <v>688</v>
      </c>
      <c r="C239" s="1336" t="s">
        <v>59</v>
      </c>
      <c r="D239" s="1361" t="s">
        <v>59</v>
      </c>
      <c r="E239" s="44">
        <v>199756</v>
      </c>
      <c r="F239" s="44">
        <v>181092.41565908512</v>
      </c>
      <c r="G239" s="44">
        <v>145981</v>
      </c>
      <c r="H239" s="44">
        <v>146114.2733086503</v>
      </c>
      <c r="I239" s="44">
        <v>132409.17483980645</v>
      </c>
      <c r="J239" s="44">
        <v>132389.63176064444</v>
      </c>
      <c r="K239" s="44">
        <v>121356</v>
      </c>
      <c r="L239" s="44">
        <v>120633.36998648039</v>
      </c>
      <c r="M239" s="39"/>
      <c r="O239" s="134"/>
    </row>
    <row r="240" spans="2:15" ht="15" thickBot="1">
      <c r="B240" s="303" t="s">
        <v>138</v>
      </c>
      <c r="C240" s="1335">
        <v>195477.03394999998</v>
      </c>
      <c r="D240" s="1360">
        <f>D241+D242+D243+D244+D245+D246+D247+D248+D249</f>
        <v>187258</v>
      </c>
      <c r="E240" s="43">
        <f>E241+E242+E243+E244+E245+E246+E247+E248+E249</f>
        <v>203699</v>
      </c>
      <c r="F240" s="43">
        <v>166096.22051238688</v>
      </c>
      <c r="G240" s="304">
        <v>119944</v>
      </c>
      <c r="H240" s="304">
        <v>145010.8165600808</v>
      </c>
      <c r="I240" s="304">
        <v>140920.76762128939</v>
      </c>
      <c r="J240" s="304">
        <v>146789.32902540496</v>
      </c>
      <c r="K240" s="304">
        <v>138337.96711536724</v>
      </c>
      <c r="L240" s="304">
        <v>144456.40829202347</v>
      </c>
      <c r="M240" s="126"/>
      <c r="O240" s="134"/>
    </row>
    <row r="241" spans="2:18" ht="15" thickBot="1">
      <c r="B241" s="305" t="s">
        <v>113</v>
      </c>
      <c r="C241" s="1336">
        <v>63767.35514</v>
      </c>
      <c r="D241" s="1361">
        <v>59821</v>
      </c>
      <c r="E241" s="44">
        <v>64012</v>
      </c>
      <c r="F241" s="44">
        <v>52977.088864462661</v>
      </c>
      <c r="G241" s="109">
        <v>39909</v>
      </c>
      <c r="H241" s="109">
        <v>51209.252776842812</v>
      </c>
      <c r="I241" s="109">
        <v>50526.558781221393</v>
      </c>
      <c r="J241" s="109">
        <v>51888.532353722228</v>
      </c>
      <c r="K241" s="109">
        <v>48878.376547113563</v>
      </c>
      <c r="L241" s="109">
        <v>52780.456962595767</v>
      </c>
      <c r="M241" s="39"/>
      <c r="O241" s="134"/>
    </row>
    <row r="242" spans="2:18" ht="15" thickBot="1">
      <c r="B242" s="36" t="s">
        <v>117</v>
      </c>
      <c r="C242" s="1336">
        <v>16149.247599999999</v>
      </c>
      <c r="D242" s="1361">
        <v>14839</v>
      </c>
      <c r="E242" s="44">
        <v>15806</v>
      </c>
      <c r="F242" s="44">
        <v>13712.958484822862</v>
      </c>
      <c r="G242" s="109">
        <v>10053</v>
      </c>
      <c r="H242" s="109">
        <v>12488.734432850892</v>
      </c>
      <c r="I242" s="109">
        <v>11947.852752713481</v>
      </c>
      <c r="J242" s="109">
        <v>12991.950075241215</v>
      </c>
      <c r="K242" s="109">
        <v>12811.936037582436</v>
      </c>
      <c r="L242" s="109">
        <v>13771.069851284363</v>
      </c>
      <c r="M242" s="39"/>
      <c r="O242" s="134"/>
    </row>
    <row r="243" spans="2:18" ht="15" thickBot="1">
      <c r="B243" s="36" t="s">
        <v>120</v>
      </c>
      <c r="C243" s="1336">
        <v>1495.7455299999999</v>
      </c>
      <c r="D243" s="1361">
        <v>1428</v>
      </c>
      <c r="E243" s="44">
        <v>1439</v>
      </c>
      <c r="F243" s="44">
        <v>1317.74414475353</v>
      </c>
      <c r="G243" s="109">
        <v>731</v>
      </c>
      <c r="H243" s="109">
        <v>1388.0989565802759</v>
      </c>
      <c r="I243" s="109">
        <v>1364.9130377925983</v>
      </c>
      <c r="J243" s="109">
        <v>1402.8936885898911</v>
      </c>
      <c r="K243" s="109">
        <v>1198.5165778299756</v>
      </c>
      <c r="L243" s="109">
        <v>1558.5281658404688</v>
      </c>
      <c r="M243" s="39"/>
      <c r="O243" s="134"/>
    </row>
    <row r="244" spans="2:18" ht="15" thickBot="1">
      <c r="B244" s="36" t="s">
        <v>115</v>
      </c>
      <c r="C244" s="1336">
        <v>16139.08503</v>
      </c>
      <c r="D244" s="1361">
        <v>14448</v>
      </c>
      <c r="E244" s="44">
        <v>14675</v>
      </c>
      <c r="F244" s="44">
        <v>13268.815422338716</v>
      </c>
      <c r="G244" s="109">
        <v>9569</v>
      </c>
      <c r="H244" s="109">
        <v>11846.240323123528</v>
      </c>
      <c r="I244" s="109">
        <v>12081.424087877598</v>
      </c>
      <c r="J244" s="109">
        <v>13658.405771443748</v>
      </c>
      <c r="K244" s="109">
        <v>13501.666817237328</v>
      </c>
      <c r="L244" s="109">
        <v>13407.096890491213</v>
      </c>
      <c r="M244" s="39"/>
      <c r="O244" s="134"/>
    </row>
    <row r="245" spans="2:18" ht="15" thickBot="1">
      <c r="B245" s="36" t="s">
        <v>114</v>
      </c>
      <c r="C245" s="1336">
        <v>2442.7122799999997</v>
      </c>
      <c r="D245" s="1361">
        <v>2381</v>
      </c>
      <c r="E245" s="44">
        <v>2463</v>
      </c>
      <c r="F245" s="44">
        <v>1996.7912403821761</v>
      </c>
      <c r="G245" s="109">
        <v>1427</v>
      </c>
      <c r="H245" s="109">
        <v>2069.7623695725347</v>
      </c>
      <c r="I245" s="109">
        <v>2850.636197201517</v>
      </c>
      <c r="J245" s="109">
        <v>3175.0110648844829</v>
      </c>
      <c r="K245" s="109">
        <v>2974.3526967205707</v>
      </c>
      <c r="L245" s="109">
        <v>3174.8111762054982</v>
      </c>
      <c r="M245" s="39"/>
      <c r="O245" s="134"/>
    </row>
    <row r="246" spans="2:18" ht="15" thickBot="1">
      <c r="B246" s="36" t="s">
        <v>689</v>
      </c>
      <c r="C246" s="1336">
        <v>47197.74669</v>
      </c>
      <c r="D246" s="1361">
        <v>47584</v>
      </c>
      <c r="E246" s="44">
        <v>49738</v>
      </c>
      <c r="F246" s="44">
        <v>38265.545785068061</v>
      </c>
      <c r="G246" s="75">
        <v>26461</v>
      </c>
      <c r="H246" s="75">
        <v>32154.203971726689</v>
      </c>
      <c r="I246" s="75">
        <v>31092.278671374392</v>
      </c>
      <c r="J246" s="75">
        <v>33207.070903779764</v>
      </c>
      <c r="K246" s="75">
        <v>31572.524166591378</v>
      </c>
      <c r="L246" s="75">
        <v>32173.030193780985</v>
      </c>
      <c r="M246" s="39"/>
      <c r="O246" s="134"/>
    </row>
    <row r="247" spans="2:18" ht="21" thickBot="1">
      <c r="B247" s="36" t="s">
        <v>690</v>
      </c>
      <c r="C247" s="1336">
        <v>2806.7170599999999</v>
      </c>
      <c r="D247" s="1361">
        <v>2822</v>
      </c>
      <c r="E247" s="44">
        <v>3089</v>
      </c>
      <c r="F247" s="44">
        <v>3221.2302359009041</v>
      </c>
      <c r="G247" s="44">
        <v>1800</v>
      </c>
      <c r="H247" s="44">
        <v>1787.467519353753</v>
      </c>
      <c r="I247" s="44">
        <v>1498.5602196939976</v>
      </c>
      <c r="J247" s="44">
        <v>1518.3969195361601</v>
      </c>
      <c r="K247" s="44">
        <v>1648.5942722919867</v>
      </c>
      <c r="L247" s="44">
        <v>1584.6390265885536</v>
      </c>
      <c r="M247" s="39"/>
      <c r="O247" s="134"/>
    </row>
    <row r="248" spans="2:18" ht="21" thickBot="1">
      <c r="B248" s="36" t="s">
        <v>691</v>
      </c>
      <c r="C248" s="1336">
        <v>37533.142619999999</v>
      </c>
      <c r="D248" s="1361">
        <v>35056</v>
      </c>
      <c r="E248" s="44">
        <v>38567</v>
      </c>
      <c r="F248" s="44">
        <v>31053.62391138919</v>
      </c>
      <c r="G248" s="44">
        <v>23483</v>
      </c>
      <c r="H248" s="44">
        <v>25863.037361157858</v>
      </c>
      <c r="I248" s="44">
        <v>23985.098731528702</v>
      </c>
      <c r="J248" s="44">
        <v>23095.96175975923</v>
      </c>
      <c r="K248" s="44">
        <v>20108</v>
      </c>
      <c r="L248" s="44">
        <v>20607.026588553403</v>
      </c>
      <c r="M248" s="580"/>
      <c r="O248" s="134"/>
    </row>
    <row r="249" spans="2:18" ht="20.399999999999999">
      <c r="B249" s="230" t="s">
        <v>692</v>
      </c>
      <c r="C249" s="1337">
        <v>7945.2820000000002</v>
      </c>
      <c r="D249" s="1362">
        <v>8879</v>
      </c>
      <c r="E249" s="39">
        <v>13910</v>
      </c>
      <c r="F249" s="39">
        <v>10282.127335757164</v>
      </c>
      <c r="G249" s="39">
        <v>6511</v>
      </c>
      <c r="H249" s="39">
        <v>6204.0188488724334</v>
      </c>
      <c r="I249" s="39">
        <v>5573.4451418857061</v>
      </c>
      <c r="J249" s="39">
        <v>5851.1064884482612</v>
      </c>
      <c r="K249" s="39">
        <v>5644</v>
      </c>
      <c r="L249" s="39">
        <v>5402.4317260027046</v>
      </c>
      <c r="M249" s="580"/>
      <c r="O249" s="134"/>
    </row>
    <row r="250" spans="2:18">
      <c r="B250" s="306" t="s">
        <v>3</v>
      </c>
      <c r="C250" s="307">
        <v>516717.71938999998</v>
      </c>
      <c r="D250" s="307">
        <f>D240+D234+D231</f>
        <v>499072</v>
      </c>
      <c r="E250" s="307">
        <f>E240+E234+E231</f>
        <v>536970</v>
      </c>
      <c r="F250" s="307">
        <f>F240+F234+F231</f>
        <v>461648.76976409898</v>
      </c>
      <c r="G250" s="307">
        <v>357682</v>
      </c>
      <c r="H250" s="307">
        <v>381884.33726018172</v>
      </c>
      <c r="I250" s="307">
        <v>357815.56754282722</v>
      </c>
      <c r="J250" s="307">
        <v>362025.29078516422</v>
      </c>
      <c r="K250" s="307">
        <v>339911.5824374379</v>
      </c>
      <c r="L250" s="307">
        <v>344611.61784587649</v>
      </c>
      <c r="M250" s="126"/>
      <c r="O250" s="134"/>
    </row>
    <row r="251" spans="2:18">
      <c r="C251" s="23"/>
      <c r="D251" s="23"/>
      <c r="E251" s="23"/>
      <c r="F251" s="23"/>
      <c r="G251" s="23"/>
      <c r="H251" s="23"/>
      <c r="I251" s="23"/>
    </row>
    <row r="252" spans="2:18" ht="15.6">
      <c r="B252" s="295" t="s">
        <v>581</v>
      </c>
    </row>
    <row r="253" spans="2:18">
      <c r="B253" s="1" t="s">
        <v>589</v>
      </c>
      <c r="C253" s="93"/>
      <c r="D253" s="93"/>
      <c r="E253" s="93"/>
      <c r="F253" s="93"/>
      <c r="G253" s="93"/>
      <c r="H253" s="93"/>
      <c r="I253" s="93"/>
      <c r="J253" s="93"/>
      <c r="K253" s="93"/>
    </row>
    <row r="254" spans="2:18">
      <c r="B254" s="308" t="s">
        <v>693</v>
      </c>
      <c r="C254" s="1334">
        <v>2024</v>
      </c>
      <c r="D254" s="1334">
        <v>2023</v>
      </c>
      <c r="E254" s="229">
        <v>2022</v>
      </c>
      <c r="F254" s="229">
        <v>2021</v>
      </c>
      <c r="G254" s="229">
        <v>2020</v>
      </c>
      <c r="H254" s="229">
        <v>2019</v>
      </c>
      <c r="I254" s="229">
        <v>2018</v>
      </c>
      <c r="J254" s="229">
        <v>2017</v>
      </c>
      <c r="K254" s="229">
        <v>2016</v>
      </c>
      <c r="L254" s="229">
        <v>2015</v>
      </c>
      <c r="M254" s="868"/>
    </row>
    <row r="255" spans="2:18" ht="15" thickBot="1">
      <c r="B255" s="263" t="s">
        <v>35</v>
      </c>
      <c r="C255" s="1150">
        <v>81556</v>
      </c>
      <c r="D255" s="1363">
        <v>80642</v>
      </c>
      <c r="E255" s="204">
        <v>85105</v>
      </c>
      <c r="F255" s="204">
        <v>71454.589498604895</v>
      </c>
      <c r="G255" s="204">
        <v>54897.616879705827</v>
      </c>
      <c r="H255" s="204">
        <v>69553.55247878519</v>
      </c>
      <c r="I255" s="204">
        <v>70911.891617273504</v>
      </c>
      <c r="J255" s="204">
        <v>73770.231034787997</v>
      </c>
      <c r="K255" s="204">
        <v>68796.761225042908</v>
      </c>
      <c r="L255" s="204">
        <v>67733.132041460121</v>
      </c>
      <c r="M255" s="309"/>
      <c r="R255" s="134"/>
    </row>
    <row r="256" spans="2:18" ht="15" thickBot="1">
      <c r="B256" s="263" t="s">
        <v>37</v>
      </c>
      <c r="C256" s="1150">
        <v>37949</v>
      </c>
      <c r="D256" s="1363">
        <v>36698</v>
      </c>
      <c r="E256" s="204">
        <v>37086</v>
      </c>
      <c r="F256" s="204">
        <v>29650.842140864119</v>
      </c>
      <c r="G256" s="204">
        <v>19785.874627911049</v>
      </c>
      <c r="H256" s="204">
        <v>24634.840553818674</v>
      </c>
      <c r="I256" s="204">
        <v>23470.928027095684</v>
      </c>
      <c r="J256" s="204">
        <v>25323.307957864923</v>
      </c>
      <c r="K256" s="204">
        <v>26165.782816875959</v>
      </c>
      <c r="L256" s="204">
        <v>31436.949076160432</v>
      </c>
      <c r="M256" s="309"/>
      <c r="P256" s="134"/>
      <c r="R256" s="134"/>
    </row>
    <row r="257" spans="2:20" ht="15" thickBot="1">
      <c r="B257" s="263" t="s">
        <v>13</v>
      </c>
      <c r="C257" s="1150">
        <v>10776</v>
      </c>
      <c r="D257" s="1363">
        <v>11081</v>
      </c>
      <c r="E257" s="204">
        <v>11658</v>
      </c>
      <c r="F257" s="204">
        <v>8463.2628730870038</v>
      </c>
      <c r="G257" s="204">
        <v>5461.3193836455957</v>
      </c>
      <c r="H257" s="204">
        <v>5735.9580169718629</v>
      </c>
      <c r="I257" s="204">
        <v>4558.0541913632514</v>
      </c>
      <c r="J257" s="204">
        <v>5006.1007347083296</v>
      </c>
      <c r="K257" s="204">
        <v>4650.9621465353684</v>
      </c>
      <c r="L257" s="204">
        <v>3676.7616043262733</v>
      </c>
      <c r="M257" s="309"/>
      <c r="P257" s="134"/>
      <c r="R257" s="134"/>
    </row>
    <row r="258" spans="2:20" ht="15" thickBot="1">
      <c r="B258" s="263" t="s">
        <v>1620</v>
      </c>
      <c r="C258" s="1150">
        <v>3835</v>
      </c>
      <c r="D258" s="1363">
        <v>4165</v>
      </c>
      <c r="E258" s="204">
        <v>4600</v>
      </c>
      <c r="F258" s="204">
        <v>3928.0722076604375</v>
      </c>
      <c r="G258" s="204">
        <v>3175.3931010330939</v>
      </c>
      <c r="H258" s="204">
        <v>3585.1121036176869</v>
      </c>
      <c r="I258" s="204">
        <v>3692.6274343776463</v>
      </c>
      <c r="J258" s="204">
        <v>4082.4289634416218</v>
      </c>
      <c r="K258" s="204">
        <v>3622.4988707200291</v>
      </c>
      <c r="L258" s="204">
        <v>5425.3303289770174</v>
      </c>
      <c r="M258" s="309"/>
      <c r="P258" s="134"/>
      <c r="R258" s="134"/>
    </row>
    <row r="259" spans="2:20" ht="15" thickBot="1">
      <c r="B259" s="263" t="s">
        <v>38</v>
      </c>
      <c r="C259" s="1150">
        <v>1930</v>
      </c>
      <c r="D259" s="1363">
        <v>2030</v>
      </c>
      <c r="E259" s="204">
        <v>2579</v>
      </c>
      <c r="F259" s="204">
        <v>1749.0073560497165</v>
      </c>
      <c r="G259" s="204">
        <v>1208.5781824549117</v>
      </c>
      <c r="H259" s="204">
        <v>1457.846359982135</v>
      </c>
      <c r="I259" s="204">
        <v>1265.3903471634208</v>
      </c>
      <c r="J259" s="204">
        <v>1439.2883066300788</v>
      </c>
      <c r="K259" s="204">
        <v>1324.7113560393893</v>
      </c>
      <c r="L259" s="204">
        <v>1448.2559711581794</v>
      </c>
      <c r="M259" s="309"/>
      <c r="P259" s="134"/>
      <c r="R259" s="134"/>
    </row>
    <row r="260" spans="2:20" ht="15" thickBot="1">
      <c r="B260" s="263" t="s">
        <v>21</v>
      </c>
      <c r="C260" s="1150">
        <v>740</v>
      </c>
      <c r="D260" s="1363">
        <v>1090</v>
      </c>
      <c r="E260" s="204">
        <v>1361</v>
      </c>
      <c r="F260" s="204">
        <v>1063.3964657140441</v>
      </c>
      <c r="G260" s="204">
        <v>658.09402906671323</v>
      </c>
      <c r="H260" s="204">
        <v>1466.4868244752122</v>
      </c>
      <c r="I260" s="204">
        <v>1398.653683319221</v>
      </c>
      <c r="J260" s="204">
        <v>1400.965743117642</v>
      </c>
      <c r="K260" s="204">
        <v>973.29478724365345</v>
      </c>
      <c r="L260" s="204">
        <v>949.61063542136105</v>
      </c>
      <c r="M260" s="309"/>
      <c r="P260" s="134"/>
      <c r="R260" s="134"/>
    </row>
    <row r="261" spans="2:20" ht="15" thickBot="1">
      <c r="B261" s="263" t="s">
        <v>23</v>
      </c>
      <c r="C261" s="1150">
        <v>1737</v>
      </c>
      <c r="D261" s="1363">
        <v>1186</v>
      </c>
      <c r="E261" s="204">
        <v>1393</v>
      </c>
      <c r="F261" s="204">
        <v>1018.9295679377693</v>
      </c>
      <c r="G261" s="204">
        <v>416.00070040273158</v>
      </c>
      <c r="H261" s="204">
        <v>469.93211255024573</v>
      </c>
      <c r="I261" s="204">
        <v>270.00254022015241</v>
      </c>
      <c r="J261" s="204">
        <v>124.18606709745951</v>
      </c>
      <c r="K261" s="204">
        <v>88.908663835938199</v>
      </c>
      <c r="L261" s="204">
        <v>151.8747183415953</v>
      </c>
      <c r="M261" s="309"/>
      <c r="P261" s="134"/>
      <c r="R261" s="134"/>
    </row>
    <row r="262" spans="2:20" ht="15" thickBot="1">
      <c r="B262" s="263" t="s">
        <v>24</v>
      </c>
      <c r="C262" s="1150">
        <v>649</v>
      </c>
      <c r="D262" s="1363">
        <v>781</v>
      </c>
      <c r="E262" s="204">
        <v>905</v>
      </c>
      <c r="F262" s="204">
        <v>1009.9856261097488</v>
      </c>
      <c r="G262" s="204">
        <v>503.79092978462609</v>
      </c>
      <c r="H262" s="204">
        <v>744.83876730683346</v>
      </c>
      <c r="I262" s="204">
        <v>587.5165114309907</v>
      </c>
      <c r="J262" s="204">
        <v>977.98087987961412</v>
      </c>
      <c r="K262" s="204">
        <v>1586.5389827446022</v>
      </c>
      <c r="L262" s="204">
        <v>1422.5488958990536</v>
      </c>
      <c r="M262" s="309"/>
      <c r="P262" s="134"/>
      <c r="R262" s="134"/>
    </row>
    <row r="263" spans="2:20" ht="15" thickBot="1">
      <c r="B263" s="263" t="s">
        <v>12</v>
      </c>
      <c r="C263" s="1150">
        <v>711</v>
      </c>
      <c r="D263" s="1363">
        <v>885</v>
      </c>
      <c r="E263" s="204">
        <v>867</v>
      </c>
      <c r="F263" s="204">
        <v>826.71176122431712</v>
      </c>
      <c r="G263" s="204">
        <v>479.67518823323405</v>
      </c>
      <c r="H263" s="204">
        <v>486.3492630638678</v>
      </c>
      <c r="I263" s="204">
        <v>330.47840812870453</v>
      </c>
      <c r="J263" s="204">
        <v>278.5783836416748</v>
      </c>
      <c r="K263" s="204">
        <v>156.26795555154035</v>
      </c>
      <c r="L263" s="204">
        <v>194.68589454709328</v>
      </c>
      <c r="M263" s="309"/>
      <c r="P263" s="134"/>
      <c r="R263" s="134"/>
    </row>
    <row r="264" spans="2:20">
      <c r="B264" s="154" t="s">
        <v>129</v>
      </c>
      <c r="C264" s="1157">
        <v>4895</v>
      </c>
      <c r="D264" s="1364">
        <v>4766</v>
      </c>
      <c r="E264" s="309">
        <v>809</v>
      </c>
      <c r="F264" s="309">
        <v>5595.3792170457418</v>
      </c>
      <c r="G264" s="309">
        <v>3363.9371388548416</v>
      </c>
      <c r="H264" s="309">
        <v>4756.7217507815994</v>
      </c>
      <c r="I264" s="309">
        <v>4819.2455546147339</v>
      </c>
      <c r="J264" s="309">
        <v>5439.2334248030456</v>
      </c>
      <c r="K264" s="309">
        <v>5167.7857078326861</v>
      </c>
      <c r="L264" s="309">
        <v>6009.1077061739516</v>
      </c>
      <c r="M264" s="309"/>
      <c r="P264" s="134"/>
      <c r="R264" s="134"/>
    </row>
    <row r="265" spans="2:20">
      <c r="B265" s="271" t="s">
        <v>3</v>
      </c>
      <c r="C265" s="1171">
        <v>144782</v>
      </c>
      <c r="D265" s="1171">
        <v>143325</v>
      </c>
      <c r="E265" s="169">
        <v>151213</v>
      </c>
      <c r="F265" s="169">
        <v>124760.17671429778</v>
      </c>
      <c r="G265" s="169">
        <v>89950.280161092625</v>
      </c>
      <c r="H265" s="169">
        <v>112891.6382313533</v>
      </c>
      <c r="I265" s="169">
        <v>111304.78831498729</v>
      </c>
      <c r="J265" s="169">
        <v>117842.3014959724</v>
      </c>
      <c r="K265" s="169">
        <v>112533.51251242208</v>
      </c>
      <c r="L265" s="169">
        <v>118448.25687246506</v>
      </c>
      <c r="M265" s="869"/>
      <c r="P265" s="134"/>
      <c r="R265" s="134"/>
    </row>
    <row r="266" spans="2:20"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</row>
    <row r="268" spans="2:20" ht="17.399999999999999">
      <c r="B268" s="295" t="s">
        <v>694</v>
      </c>
      <c r="C268" s="310"/>
      <c r="D268" s="310"/>
      <c r="E268" s="310"/>
      <c r="F268" s="310"/>
      <c r="G268" s="310"/>
      <c r="H268" s="310"/>
      <c r="I268" s="310"/>
      <c r="J268" s="310"/>
      <c r="K268" s="310"/>
    </row>
    <row r="269" spans="2:20">
      <c r="B269" s="1" t="s">
        <v>695</v>
      </c>
      <c r="C269" s="1"/>
      <c r="D269" s="1"/>
      <c r="E269" s="1"/>
      <c r="F269" s="1"/>
      <c r="G269" s="1"/>
      <c r="H269" s="1"/>
      <c r="I269" s="1"/>
      <c r="J269" s="1"/>
      <c r="K269" s="1"/>
    </row>
    <row r="270" spans="2:20">
      <c r="B270" s="308" t="s">
        <v>693</v>
      </c>
      <c r="C270" s="308">
        <v>2024</v>
      </c>
      <c r="D270" s="308">
        <v>2023</v>
      </c>
      <c r="E270" s="141">
        <v>2022</v>
      </c>
      <c r="F270" s="141">
        <v>2021</v>
      </c>
      <c r="G270" s="141">
        <v>2020</v>
      </c>
      <c r="H270" s="141">
        <v>2019</v>
      </c>
      <c r="I270" s="141">
        <v>2018</v>
      </c>
      <c r="J270" s="141">
        <v>2017</v>
      </c>
      <c r="K270" s="141">
        <v>2016</v>
      </c>
      <c r="L270" s="141">
        <v>2015</v>
      </c>
      <c r="M270" s="870"/>
    </row>
    <row r="271" spans="2:20" ht="15" thickBot="1">
      <c r="B271" s="263" t="s">
        <v>1620</v>
      </c>
      <c r="C271" s="1150">
        <v>25045</v>
      </c>
      <c r="D271" s="1363">
        <v>25685</v>
      </c>
      <c r="E271" s="204">
        <v>30473</v>
      </c>
      <c r="F271" s="204">
        <v>25148.1170203771</v>
      </c>
      <c r="G271" s="204">
        <v>19335.47102083698</v>
      </c>
      <c r="H271" s="204">
        <v>19996.87360428763</v>
      </c>
      <c r="I271" s="204">
        <v>19234.770533446233</v>
      </c>
      <c r="J271" s="204">
        <v>19129.285651057802</v>
      </c>
      <c r="K271" s="204">
        <v>16810.983828710814</v>
      </c>
      <c r="L271" s="204">
        <v>17778.59846777828</v>
      </c>
      <c r="M271" s="309"/>
      <c r="P271" s="134"/>
    </row>
    <row r="272" spans="2:20" ht="15" thickBot="1">
      <c r="B272" s="263" t="s">
        <v>27</v>
      </c>
      <c r="C272" s="1150">
        <v>1889</v>
      </c>
      <c r="D272" s="1363">
        <v>2542</v>
      </c>
      <c r="E272" s="204">
        <v>4831</v>
      </c>
      <c r="F272" s="204">
        <v>3077.2850257884497</v>
      </c>
      <c r="G272" s="204">
        <v>2173.4906321134654</v>
      </c>
      <c r="H272" s="204">
        <v>2478.4886109870481</v>
      </c>
      <c r="I272" s="204">
        <v>1893.2057578323456</v>
      </c>
      <c r="J272" s="204">
        <v>1779.7848986456584</v>
      </c>
      <c r="K272" s="204">
        <v>1903.1637907670072</v>
      </c>
      <c r="L272" s="204">
        <v>1712.9625957638575</v>
      </c>
      <c r="M272" s="309"/>
      <c r="P272" s="134"/>
      <c r="T272" s="134"/>
    </row>
    <row r="273" spans="2:20" ht="15" thickBot="1">
      <c r="B273" s="263" t="s">
        <v>35</v>
      </c>
      <c r="C273" s="1150">
        <v>3744</v>
      </c>
      <c r="D273" s="1363">
        <v>3282</v>
      </c>
      <c r="E273" s="204">
        <v>3016</v>
      </c>
      <c r="F273" s="204">
        <v>2440.9647416927369</v>
      </c>
      <c r="G273" s="204">
        <v>1960.7292943442478</v>
      </c>
      <c r="H273" s="204">
        <v>1803.3863331844577</v>
      </c>
      <c r="I273" s="204">
        <v>1540.9356477561389</v>
      </c>
      <c r="J273" s="204">
        <v>1663.4150659467116</v>
      </c>
      <c r="K273" s="204">
        <v>1560.6170385762036</v>
      </c>
      <c r="L273" s="204">
        <v>1232.9121225777376</v>
      </c>
      <c r="M273" s="309"/>
      <c r="P273" s="134"/>
      <c r="T273" s="134"/>
    </row>
    <row r="274" spans="2:20" ht="15" thickBot="1">
      <c r="B274" s="263" t="s">
        <v>29</v>
      </c>
      <c r="C274" s="1150">
        <v>2252</v>
      </c>
      <c r="D274" s="1363">
        <v>2005</v>
      </c>
      <c r="E274" s="204">
        <v>2894</v>
      </c>
      <c r="F274" s="204">
        <v>2426.2467235985455</v>
      </c>
      <c r="G274" s="204">
        <v>1097.1213447732446</v>
      </c>
      <c r="H274" s="204">
        <v>1252.0634211701654</v>
      </c>
      <c r="I274" s="204">
        <v>1524.6325148179508</v>
      </c>
      <c r="J274" s="204">
        <v>1403.3185801540233</v>
      </c>
      <c r="K274" s="204">
        <v>1120.8745144096124</v>
      </c>
      <c r="L274" s="204">
        <v>1037.8044164037854</v>
      </c>
      <c r="M274" s="309"/>
      <c r="P274" s="134"/>
      <c r="T274" s="134"/>
    </row>
    <row r="275" spans="2:20" ht="15" thickBot="1">
      <c r="B275" s="263" t="s">
        <v>38</v>
      </c>
      <c r="C275" s="1150">
        <v>5778</v>
      </c>
      <c r="D275" s="1363">
        <v>4344</v>
      </c>
      <c r="E275" s="204">
        <v>3020</v>
      </c>
      <c r="F275" s="204">
        <v>2343.3761731631012</v>
      </c>
      <c r="G275" s="204">
        <v>1667.6133776921729</v>
      </c>
      <c r="H275" s="204">
        <v>1161.9472979008488</v>
      </c>
      <c r="I275" s="204">
        <v>931.7629127857748</v>
      </c>
      <c r="J275" s="204">
        <v>1007.4214393201736</v>
      </c>
      <c r="K275" s="204">
        <v>907.50203270394798</v>
      </c>
      <c r="L275" s="204">
        <v>725.38350608382154</v>
      </c>
      <c r="M275" s="309"/>
      <c r="P275" s="134"/>
      <c r="T275" s="134"/>
    </row>
    <row r="276" spans="2:20" ht="15" thickBot="1">
      <c r="B276" s="263" t="s">
        <v>12</v>
      </c>
      <c r="C276" s="1150">
        <v>1692</v>
      </c>
      <c r="D276" s="1363">
        <v>2042</v>
      </c>
      <c r="E276" s="204">
        <v>2522</v>
      </c>
      <c r="F276" s="204">
        <v>1826.104675741946</v>
      </c>
      <c r="G276" s="204">
        <v>998.81194186657331</v>
      </c>
      <c r="H276" s="204">
        <v>1448.4153640017867</v>
      </c>
      <c r="I276" s="204">
        <v>1192.3412362404742</v>
      </c>
      <c r="J276" s="204">
        <v>863.40621403912542</v>
      </c>
      <c r="K276" s="204">
        <v>579.22576565182044</v>
      </c>
      <c r="L276" s="204">
        <v>397.00405588102751</v>
      </c>
      <c r="M276" s="309"/>
      <c r="P276" s="134"/>
      <c r="T276" s="134"/>
    </row>
    <row r="277" spans="2:20" ht="15" thickBot="1">
      <c r="B277" s="263" t="s">
        <v>37</v>
      </c>
      <c r="C277" s="1150">
        <v>290</v>
      </c>
      <c r="D277" s="1363">
        <v>305</v>
      </c>
      <c r="E277" s="204">
        <v>568</v>
      </c>
      <c r="F277" s="204">
        <v>580.23928299653335</v>
      </c>
      <c r="G277" s="204">
        <v>345.47539835405354</v>
      </c>
      <c r="H277" s="204">
        <v>396.9977668602055</v>
      </c>
      <c r="I277" s="204">
        <v>374.64013547840813</v>
      </c>
      <c r="J277" s="204">
        <v>406.32468797025757</v>
      </c>
      <c r="K277" s="204">
        <v>421.06423344475564</v>
      </c>
      <c r="L277" s="204">
        <v>615.55655700766113</v>
      </c>
      <c r="M277" s="309"/>
      <c r="P277" s="134"/>
      <c r="T277" s="134"/>
    </row>
    <row r="278" spans="2:20">
      <c r="B278" s="154" t="s">
        <v>129</v>
      </c>
      <c r="C278" s="1157">
        <v>3203</v>
      </c>
      <c r="D278" s="1364">
        <v>3759</v>
      </c>
      <c r="E278" s="309">
        <f>E279-E277-E276-E275-E274-E273-E272-E271</f>
        <v>5153</v>
      </c>
      <c r="F278" s="309">
        <v>3493.4159127420303</v>
      </c>
      <c r="G278" s="309">
        <v>2409.5832603747153</v>
      </c>
      <c r="H278" s="309">
        <v>3533.0192050022338</v>
      </c>
      <c r="I278" s="309">
        <v>2851.0279424216765</v>
      </c>
      <c r="J278" s="309">
        <v>2694.1161370275295</v>
      </c>
      <c r="K278" s="309">
        <v>2449.175173909116</v>
      </c>
      <c r="L278" s="309">
        <v>2514.1180712032451</v>
      </c>
      <c r="M278" s="309"/>
      <c r="P278" s="134"/>
      <c r="T278" s="134"/>
    </row>
    <row r="279" spans="2:20">
      <c r="B279" s="271" t="s">
        <v>3</v>
      </c>
      <c r="C279" s="1171">
        <v>43896</v>
      </c>
      <c r="D279" s="1171">
        <v>43966</v>
      </c>
      <c r="E279" s="169">
        <v>52477</v>
      </c>
      <c r="F279" s="169">
        <v>41335.74955610044</v>
      </c>
      <c r="G279" s="169">
        <v>29988.296270355451</v>
      </c>
      <c r="H279" s="169">
        <v>32071.191603394378</v>
      </c>
      <c r="I279" s="169">
        <v>29543.316680779</v>
      </c>
      <c r="J279" s="169">
        <v>28947.072674161285</v>
      </c>
      <c r="K279" s="169">
        <v>25752.606378173277</v>
      </c>
      <c r="L279" s="169">
        <v>26014.339792699415</v>
      </c>
      <c r="M279" s="869"/>
      <c r="P279" s="134"/>
      <c r="T279" s="134"/>
    </row>
    <row r="280" spans="2:20">
      <c r="C280" s="311"/>
      <c r="D280" s="311"/>
      <c r="E280" s="311"/>
      <c r="F280" s="311"/>
      <c r="G280" s="311"/>
      <c r="H280" s="311"/>
      <c r="I280" s="311"/>
      <c r="J280" s="311"/>
      <c r="K280" s="311"/>
      <c r="L280" s="311"/>
      <c r="M280" s="311"/>
      <c r="T280" s="134"/>
    </row>
    <row r="281" spans="2:20">
      <c r="C281" s="311"/>
      <c r="D281" s="311"/>
      <c r="E281" s="311"/>
      <c r="F281" s="311"/>
      <c r="G281" s="311"/>
      <c r="H281" s="311"/>
      <c r="I281" s="311"/>
      <c r="J281" s="311"/>
      <c r="K281" s="311"/>
      <c r="L281" s="311"/>
      <c r="M281" s="311"/>
      <c r="T281" s="134"/>
    </row>
    <row r="282" spans="2:20" ht="15.6">
      <c r="B282" s="1264" t="s">
        <v>587</v>
      </c>
      <c r="C282" s="83"/>
      <c r="D282" s="83"/>
      <c r="E282" s="83"/>
      <c r="F282" s="83"/>
      <c r="G282" s="83"/>
      <c r="H282" s="83"/>
      <c r="I282" s="83"/>
      <c r="J282" s="83"/>
      <c r="K282" s="83"/>
      <c r="L282" s="83"/>
      <c r="T282" s="134"/>
    </row>
    <row r="283" spans="2:20" ht="15.6">
      <c r="B283" s="1" t="s">
        <v>582</v>
      </c>
      <c r="C283" s="83"/>
      <c r="D283" s="83"/>
      <c r="E283" s="83"/>
      <c r="F283" s="83"/>
      <c r="G283" s="83"/>
      <c r="H283" s="83"/>
      <c r="I283" s="83"/>
      <c r="J283" s="83"/>
      <c r="K283" s="83"/>
      <c r="L283" s="83"/>
      <c r="T283" s="134"/>
    </row>
    <row r="284" spans="2:20">
      <c r="B284" s="312"/>
      <c r="C284" s="312">
        <v>2024</v>
      </c>
      <c r="D284" s="312">
        <v>2023</v>
      </c>
      <c r="E284" s="313">
        <v>2022</v>
      </c>
      <c r="F284" s="313">
        <v>2021</v>
      </c>
      <c r="G284" s="313">
        <v>2020</v>
      </c>
      <c r="H284" s="313">
        <v>2019</v>
      </c>
      <c r="I284" s="313">
        <v>2018</v>
      </c>
      <c r="J284" s="313">
        <v>2017</v>
      </c>
      <c r="K284" s="313">
        <v>2016</v>
      </c>
      <c r="L284" s="313">
        <v>2015</v>
      </c>
      <c r="M284" s="94"/>
      <c r="T284" s="134"/>
    </row>
    <row r="285" spans="2:20" ht="15" thickBot="1">
      <c r="B285" s="61" t="s">
        <v>696</v>
      </c>
      <c r="C285" s="1144"/>
      <c r="D285" s="1207">
        <f>D286+D287</f>
        <v>32452</v>
      </c>
      <c r="E285" s="43">
        <f>E286+E287</f>
        <v>26167</v>
      </c>
      <c r="F285" s="43">
        <v>22233.871649615285</v>
      </c>
      <c r="G285" s="43">
        <v>13403</v>
      </c>
      <c r="H285" s="43">
        <v>19575.056883204306</v>
      </c>
      <c r="I285" s="43">
        <v>15768.796913822414</v>
      </c>
      <c r="J285" s="43">
        <v>16726.492874214393</v>
      </c>
      <c r="K285" s="43">
        <v>16613.437528232</v>
      </c>
      <c r="L285" s="43">
        <v>14633.589905362776</v>
      </c>
      <c r="M285" s="126"/>
      <c r="T285" s="134"/>
    </row>
    <row r="286" spans="2:20" ht="21" thickBot="1">
      <c r="B286" s="305" t="s">
        <v>697</v>
      </c>
      <c r="C286" s="1143"/>
      <c r="D286" s="1140">
        <v>6832</v>
      </c>
      <c r="E286" s="44">
        <v>5084</v>
      </c>
      <c r="F286" s="44">
        <v>4263.5089202671852</v>
      </c>
      <c r="G286" s="44">
        <v>1987</v>
      </c>
      <c r="H286" s="44">
        <v>2783.8492090205318</v>
      </c>
      <c r="I286" s="44">
        <v>2242.255786582974</v>
      </c>
      <c r="J286" s="44">
        <v>2087.2603346021069</v>
      </c>
      <c r="K286" s="44">
        <v>1728.0314391543952</v>
      </c>
      <c r="L286" s="44">
        <v>1194.5543037404236</v>
      </c>
      <c r="M286" s="39">
        <v>7854</v>
      </c>
      <c r="N286" s="39"/>
      <c r="T286" s="134"/>
    </row>
    <row r="287" spans="2:20" ht="21" thickBot="1">
      <c r="B287" s="36" t="s">
        <v>698</v>
      </c>
      <c r="C287" s="1143"/>
      <c r="D287" s="1140">
        <v>25620</v>
      </c>
      <c r="E287" s="44">
        <v>21083</v>
      </c>
      <c r="F287" s="44">
        <v>17970.220681491501</v>
      </c>
      <c r="G287" s="44">
        <v>11416</v>
      </c>
      <c r="H287" s="44">
        <v>16791.207674183774</v>
      </c>
      <c r="I287" s="44">
        <v>13526.541127239439</v>
      </c>
      <c r="J287" s="44">
        <v>14639.232539612287</v>
      </c>
      <c r="K287" s="44">
        <v>14885.405185653626</v>
      </c>
      <c r="L287" s="44">
        <v>13439.035601622352</v>
      </c>
      <c r="M287" s="39">
        <v>28445</v>
      </c>
      <c r="N287" s="39"/>
      <c r="T287" s="134"/>
    </row>
    <row r="288" spans="2:20" ht="15" thickBot="1">
      <c r="B288" s="61" t="s">
        <v>699</v>
      </c>
      <c r="C288" s="1144"/>
      <c r="D288" s="1207">
        <f>D289+D290+D291+D292+D293</f>
        <v>522675</v>
      </c>
      <c r="E288" s="43">
        <f>E289+E290+E291+E292+E293</f>
        <v>487323</v>
      </c>
      <c r="F288" s="43">
        <v>394686.7337448211</v>
      </c>
      <c r="G288" s="43">
        <v>303752</v>
      </c>
      <c r="H288" s="43">
        <v>282473.20498148771</v>
      </c>
      <c r="I288" s="43">
        <v>237828.94010723158</v>
      </c>
      <c r="J288" s="43">
        <v>231528.08267681685</v>
      </c>
      <c r="K288" s="43">
        <v>219278.1910741711</v>
      </c>
      <c r="L288" s="43">
        <v>212168.0567823344</v>
      </c>
      <c r="M288" s="126"/>
      <c r="T288" s="134"/>
    </row>
    <row r="289" spans="2:20" ht="15" thickBot="1">
      <c r="B289" s="305" t="s">
        <v>700</v>
      </c>
      <c r="C289" s="1143"/>
      <c r="D289" s="1140">
        <v>3307</v>
      </c>
      <c r="E289" s="44">
        <v>3814</v>
      </c>
      <c r="F289" s="44">
        <v>527.24782277838835</v>
      </c>
      <c r="G289" s="44">
        <v>407</v>
      </c>
      <c r="H289" s="44">
        <v>245.35846516324469</v>
      </c>
      <c r="I289" s="44">
        <v>198.02275402118477</v>
      </c>
      <c r="J289" s="44">
        <v>295.30671859785787</v>
      </c>
      <c r="K289" s="44">
        <v>230.01535820760682</v>
      </c>
      <c r="L289" s="44">
        <v>800.77963046417312</v>
      </c>
      <c r="M289" s="39">
        <v>4548</v>
      </c>
      <c r="N289" s="39"/>
      <c r="T289" s="134"/>
    </row>
    <row r="290" spans="2:20" ht="15" thickBot="1">
      <c r="B290" s="36" t="s">
        <v>701</v>
      </c>
      <c r="C290" s="1143"/>
      <c r="D290" s="1140">
        <v>33524</v>
      </c>
      <c r="E290" s="44">
        <v>30397</v>
      </c>
      <c r="F290" s="44">
        <v>23987.297708632785</v>
      </c>
      <c r="G290" s="44">
        <v>16724</v>
      </c>
      <c r="H290" s="44">
        <v>13936.074722315718</v>
      </c>
      <c r="I290" s="44">
        <v>8047.4068262063556</v>
      </c>
      <c r="J290" s="44">
        <v>8141.1693369921222</v>
      </c>
      <c r="K290" s="44">
        <v>9201.3126750383963</v>
      </c>
      <c r="L290" s="44">
        <v>10578.204596665164</v>
      </c>
      <c r="M290" s="39"/>
      <c r="N290" s="39"/>
      <c r="T290" s="134"/>
    </row>
    <row r="291" spans="2:20" ht="15" thickBot="1">
      <c r="B291" s="36" t="s">
        <v>702</v>
      </c>
      <c r="C291" s="1143"/>
      <c r="D291" s="1140">
        <v>4066</v>
      </c>
      <c r="E291" s="44">
        <v>2583</v>
      </c>
      <c r="F291" s="44">
        <v>2518.2286294072883</v>
      </c>
      <c r="G291" s="44">
        <v>1785</v>
      </c>
      <c r="H291" s="44">
        <v>3037.7502524402557</v>
      </c>
      <c r="I291" s="44">
        <v>3074.0793775336733</v>
      </c>
      <c r="J291" s="44">
        <v>3535.9130742675047</v>
      </c>
      <c r="K291" s="44">
        <v>3145.068208510254</v>
      </c>
      <c r="L291" s="44">
        <v>3183.3068949977473</v>
      </c>
      <c r="M291" s="39"/>
    </row>
    <row r="292" spans="2:20" ht="15" thickBot="1">
      <c r="B292" s="305" t="s">
        <v>703</v>
      </c>
      <c r="C292" s="1143"/>
      <c r="D292" s="1140">
        <v>35360</v>
      </c>
      <c r="E292" s="44">
        <v>29637</v>
      </c>
      <c r="F292" s="44">
        <v>17662.147628308107</v>
      </c>
      <c r="G292" s="44">
        <v>12250</v>
      </c>
      <c r="H292" s="44">
        <v>12466.917536183102</v>
      </c>
      <c r="I292" s="44">
        <v>11632.259709690074</v>
      </c>
      <c r="J292" s="44">
        <v>12672.707798530584</v>
      </c>
      <c r="K292" s="44">
        <v>11808.794832414853</v>
      </c>
      <c r="L292" s="44">
        <v>11006.038756196485</v>
      </c>
      <c r="M292" s="39"/>
    </row>
    <row r="293" spans="2:20" ht="21" thickBot="1">
      <c r="B293" s="36" t="s">
        <v>704</v>
      </c>
      <c r="C293" s="1143"/>
      <c r="D293" s="1140">
        <v>446418</v>
      </c>
      <c r="E293" s="44">
        <v>420892</v>
      </c>
      <c r="F293" s="44">
        <v>350014</v>
      </c>
      <c r="G293" s="44">
        <v>272586</v>
      </c>
      <c r="H293" s="44">
        <v>252787.10400538539</v>
      </c>
      <c r="I293" s="44">
        <v>214877.1714397803</v>
      </c>
      <c r="J293" s="44">
        <v>206882.98574842879</v>
      </c>
      <c r="K293" s="44">
        <v>194893</v>
      </c>
      <c r="L293" s="44">
        <v>186599.72690401084</v>
      </c>
      <c r="M293" s="39"/>
    </row>
    <row r="294" spans="2:20" ht="15" thickBot="1">
      <c r="B294" s="20" t="s">
        <v>138</v>
      </c>
      <c r="C294" s="1144"/>
      <c r="D294" s="1207">
        <f>D295+D296+D297+D298+D299+D300+D301+D302+D303</f>
        <v>200115</v>
      </c>
      <c r="E294" s="43">
        <f>E295+E296+E297+E298+E299+E300+E301+E302+E303</f>
        <v>188918</v>
      </c>
      <c r="F294" s="43">
        <v>159550.18178743552</v>
      </c>
      <c r="G294" s="43">
        <v>119025</v>
      </c>
      <c r="H294" s="43">
        <v>124461.59946146078</v>
      </c>
      <c r="I294" s="43">
        <v>105296.8471295933</v>
      </c>
      <c r="J294" s="43">
        <v>98751.170930335487</v>
      </c>
      <c r="K294" s="43">
        <v>94942.855452163712</v>
      </c>
      <c r="L294" s="43">
        <v>84879.21406038756</v>
      </c>
      <c r="M294" s="126"/>
    </row>
    <row r="295" spans="2:20" ht="15" thickBot="1">
      <c r="B295" s="305" t="s">
        <v>113</v>
      </c>
      <c r="C295" s="1143"/>
      <c r="D295" s="1140">
        <v>18</v>
      </c>
      <c r="E295" s="44">
        <v>8</v>
      </c>
      <c r="F295" s="44">
        <v>105.89244948000338</v>
      </c>
      <c r="G295" s="44">
        <v>20</v>
      </c>
      <c r="H295" s="44">
        <v>73</v>
      </c>
      <c r="I295" s="44">
        <v>60.609652836579166</v>
      </c>
      <c r="J295" s="44">
        <v>83.205275736921308</v>
      </c>
      <c r="K295" s="44">
        <v>92.34257837202999</v>
      </c>
      <c r="L295" s="44">
        <v>136.27219468228932</v>
      </c>
      <c r="M295" s="39"/>
    </row>
    <row r="296" spans="2:20" ht="15" thickBot="1">
      <c r="B296" s="36" t="s">
        <v>117</v>
      </c>
      <c r="C296" s="1143"/>
      <c r="D296" s="1140">
        <v>0</v>
      </c>
      <c r="E296" s="44">
        <v>6</v>
      </c>
      <c r="F296" s="44">
        <v>1.1059440263803162</v>
      </c>
      <c r="G296" s="44">
        <v>21</v>
      </c>
      <c r="H296" s="44">
        <v>17</v>
      </c>
      <c r="I296" s="44">
        <v>44</v>
      </c>
      <c r="J296" s="44">
        <v>79</v>
      </c>
      <c r="K296" s="44">
        <v>122.41485229017978</v>
      </c>
      <c r="L296" s="44">
        <v>88.628210905813432</v>
      </c>
      <c r="M296" s="39"/>
    </row>
    <row r="297" spans="2:20" ht="15" thickBot="1">
      <c r="B297" s="36" t="s">
        <v>120</v>
      </c>
      <c r="C297" s="1143"/>
      <c r="D297" s="1140">
        <v>59</v>
      </c>
      <c r="E297" s="44">
        <v>26</v>
      </c>
      <c r="F297" s="44">
        <v>15.070601166821678</v>
      </c>
      <c r="G297" s="44">
        <v>6</v>
      </c>
      <c r="H297" s="44">
        <v>18</v>
      </c>
      <c r="I297" s="44">
        <v>17</v>
      </c>
      <c r="J297" s="44">
        <v>34</v>
      </c>
      <c r="K297" s="44">
        <v>13.338151594543318</v>
      </c>
      <c r="L297" s="44">
        <v>6.8391167192429032</v>
      </c>
      <c r="M297" s="39"/>
    </row>
    <row r="298" spans="2:20" ht="15" thickBot="1">
      <c r="B298" s="36" t="s">
        <v>115</v>
      </c>
      <c r="C298" s="1143"/>
      <c r="D298" s="1140">
        <v>483</v>
      </c>
      <c r="E298" s="44">
        <v>212</v>
      </c>
      <c r="F298" s="44">
        <v>233.20706857191172</v>
      </c>
      <c r="G298" s="44">
        <v>102</v>
      </c>
      <c r="H298" s="44">
        <v>62</v>
      </c>
      <c r="I298" s="44">
        <v>32</v>
      </c>
      <c r="J298" s="44">
        <v>10</v>
      </c>
      <c r="K298" s="44">
        <v>19.090252055289547</v>
      </c>
      <c r="L298" s="44">
        <v>63.804416403785496</v>
      </c>
      <c r="M298" s="39"/>
    </row>
    <row r="299" spans="2:20" ht="15" thickBot="1">
      <c r="B299" s="36" t="s">
        <v>114</v>
      </c>
      <c r="C299" s="1143"/>
      <c r="D299" s="1140">
        <v>1252</v>
      </c>
      <c r="E299" s="44">
        <v>1303</v>
      </c>
      <c r="F299" s="44">
        <v>1124.6190919083451</v>
      </c>
      <c r="G299" s="44">
        <v>825</v>
      </c>
      <c r="H299" s="44">
        <v>684</v>
      </c>
      <c r="I299" s="44">
        <v>820</v>
      </c>
      <c r="J299" s="44">
        <v>611</v>
      </c>
      <c r="K299" s="44">
        <v>709.82473574848677</v>
      </c>
      <c r="L299" s="44">
        <v>591.97025687246514</v>
      </c>
      <c r="M299" s="39"/>
    </row>
    <row r="300" spans="2:20" ht="15" thickBot="1">
      <c r="B300" s="36" t="s">
        <v>689</v>
      </c>
      <c r="C300" s="1143"/>
      <c r="D300" s="1140">
        <v>98774</v>
      </c>
      <c r="E300" s="44">
        <v>82917</v>
      </c>
      <c r="F300" s="44">
        <v>66764.636847890404</v>
      </c>
      <c r="G300" s="44">
        <v>48662</v>
      </c>
      <c r="H300" s="44">
        <v>54163.102659037359</v>
      </c>
      <c r="I300" s="44">
        <v>50732.08120831698</v>
      </c>
      <c r="J300" s="44">
        <v>50820.450562096135</v>
      </c>
      <c r="K300" s="44">
        <v>48479.756978950223</v>
      </c>
      <c r="L300" s="44">
        <v>42909.765660207304</v>
      </c>
      <c r="M300" s="39"/>
    </row>
    <row r="301" spans="2:20" ht="21" thickBot="1">
      <c r="B301" s="36" t="s">
        <v>690</v>
      </c>
      <c r="C301" s="1143"/>
      <c r="D301" s="1140">
        <v>461</v>
      </c>
      <c r="E301" s="44">
        <v>824</v>
      </c>
      <c r="F301" s="44">
        <v>1105.6759956032804</v>
      </c>
      <c r="G301" s="44">
        <v>1522</v>
      </c>
      <c r="H301" s="44">
        <v>2357.2898014136654</v>
      </c>
      <c r="I301" s="44">
        <v>733.96822283248321</v>
      </c>
      <c r="J301" s="44">
        <v>463.44516243250422</v>
      </c>
      <c r="K301" s="44">
        <v>2189.9430842894571</v>
      </c>
      <c r="L301" s="44">
        <v>618.27579990986931</v>
      </c>
      <c r="M301" s="39"/>
    </row>
    <row r="302" spans="2:20" ht="21" thickBot="1">
      <c r="B302" s="36" t="s">
        <v>705</v>
      </c>
      <c r="C302" s="1143"/>
      <c r="D302" s="1140">
        <v>81267</v>
      </c>
      <c r="E302" s="44">
        <v>90575</v>
      </c>
      <c r="F302" s="44">
        <v>78901</v>
      </c>
      <c r="G302" s="44">
        <v>60146</v>
      </c>
      <c r="H302" s="44">
        <v>62516.893301918542</v>
      </c>
      <c r="I302" s="44">
        <v>48825.874852883484</v>
      </c>
      <c r="J302" s="44">
        <v>40993.580596618573</v>
      </c>
      <c r="K302" s="44">
        <v>37323</v>
      </c>
      <c r="L302" s="44">
        <v>35923.442091031997</v>
      </c>
      <c r="M302" s="39"/>
    </row>
    <row r="303" spans="2:20" ht="20.399999999999999">
      <c r="B303" s="314" t="s">
        <v>706</v>
      </c>
      <c r="C303" s="1166"/>
      <c r="D303" s="1266">
        <v>17801</v>
      </c>
      <c r="E303" s="109">
        <v>13047</v>
      </c>
      <c r="F303" s="109">
        <v>11488.465375834952</v>
      </c>
      <c r="G303" s="109">
        <v>7721</v>
      </c>
      <c r="H303" s="109">
        <v>4570.706159542241</v>
      </c>
      <c r="I303" s="109">
        <v>4030.9722767098206</v>
      </c>
      <c r="J303" s="109">
        <v>5656.4893334513599</v>
      </c>
      <c r="K303" s="109">
        <v>5993.1448188634922</v>
      </c>
      <c r="L303" s="109">
        <v>4540.2163136547997</v>
      </c>
      <c r="M303" s="39"/>
    </row>
    <row r="304" spans="2:20">
      <c r="B304" s="306" t="s">
        <v>52</v>
      </c>
      <c r="C304" s="1164"/>
      <c r="D304" s="1164">
        <v>752258</v>
      </c>
      <c r="E304" s="307">
        <v>702410</v>
      </c>
      <c r="F304" s="307">
        <v>576471.63270482782</v>
      </c>
      <c r="G304" s="307">
        <v>436181</v>
      </c>
      <c r="H304" s="307">
        <v>426509.9306630764</v>
      </c>
      <c r="I304" s="307">
        <v>358894.43376487511</v>
      </c>
      <c r="J304" s="307">
        <v>347005.56253872713</v>
      </c>
      <c r="K304" s="307">
        <v>330834.48405456683</v>
      </c>
      <c r="L304" s="307">
        <v>311680.86074808473</v>
      </c>
      <c r="M304" s="126"/>
    </row>
    <row r="305" spans="2:14">
      <c r="B305" s="280"/>
      <c r="C305" s="23"/>
      <c r="D305" s="23"/>
      <c r="E305" s="23"/>
      <c r="F305" s="23"/>
      <c r="G305" s="23"/>
      <c r="H305" s="23"/>
    </row>
    <row r="306" spans="2:14" ht="17.399999999999999">
      <c r="B306" s="1264" t="s">
        <v>587</v>
      </c>
      <c r="C306" s="310"/>
      <c r="D306" s="310"/>
      <c r="E306" s="310"/>
      <c r="F306" s="310"/>
      <c r="G306" s="310"/>
      <c r="H306" s="310"/>
      <c r="I306" s="310"/>
      <c r="J306" s="310"/>
      <c r="K306" s="310"/>
    </row>
    <row r="307" spans="2:14">
      <c r="B307" s="1" t="s">
        <v>707</v>
      </c>
      <c r="C307" s="1"/>
      <c r="D307" s="1"/>
      <c r="E307" s="1"/>
      <c r="F307" s="1"/>
      <c r="G307" s="1"/>
      <c r="H307" s="1"/>
      <c r="I307" s="1"/>
      <c r="J307" s="1"/>
      <c r="K307" s="1"/>
    </row>
    <row r="308" spans="2:14">
      <c r="B308" s="312" t="s">
        <v>590</v>
      </c>
      <c r="C308" s="312">
        <v>2024</v>
      </c>
      <c r="D308" s="312">
        <v>2023</v>
      </c>
      <c r="E308" s="313">
        <v>2022</v>
      </c>
      <c r="F308" s="313">
        <v>2021</v>
      </c>
      <c r="G308" s="313">
        <v>2020</v>
      </c>
      <c r="H308" s="313">
        <v>2019</v>
      </c>
      <c r="I308" s="313">
        <v>2018</v>
      </c>
      <c r="J308" s="313">
        <v>2017</v>
      </c>
      <c r="K308" s="313">
        <v>2016</v>
      </c>
      <c r="L308" s="313">
        <v>2015</v>
      </c>
      <c r="M308" s="94"/>
    </row>
    <row r="309" spans="2:14" ht="15" thickBot="1">
      <c r="B309" s="61" t="s">
        <v>53</v>
      </c>
      <c r="C309" s="1144">
        <v>101477</v>
      </c>
      <c r="D309" s="1207">
        <v>101041</v>
      </c>
      <c r="E309" s="43">
        <v>85297</v>
      </c>
      <c r="F309" s="43">
        <v>69350.207998647151</v>
      </c>
      <c r="G309" s="43">
        <v>51157.337594116616</v>
      </c>
      <c r="H309" s="43">
        <v>57372.40196516303</v>
      </c>
      <c r="I309" s="43">
        <v>52280.014394580867</v>
      </c>
      <c r="J309" s="43">
        <v>52100.91705762592</v>
      </c>
      <c r="K309" s="43">
        <v>51626.709729876238</v>
      </c>
      <c r="L309" s="43">
        <v>44415.555655700766</v>
      </c>
      <c r="M309" s="126"/>
    </row>
    <row r="310" spans="2:14" ht="15" thickBot="1">
      <c r="B310" s="36" t="s">
        <v>1620</v>
      </c>
      <c r="C310" s="1143">
        <v>101477</v>
      </c>
      <c r="D310" s="1140">
        <v>101041</v>
      </c>
      <c r="E310" s="44">
        <v>85286</v>
      </c>
      <c r="F310" s="44">
        <v>69339.796228967607</v>
      </c>
      <c r="G310" s="44">
        <v>51152.33584310978</v>
      </c>
      <c r="H310" s="44">
        <v>57365.640017865124</v>
      </c>
      <c r="I310" s="44">
        <v>52163.8933107536</v>
      </c>
      <c r="J310" s="44">
        <v>51973.944410020362</v>
      </c>
      <c r="K310" s="44">
        <v>51476.659138133531</v>
      </c>
      <c r="L310" s="44">
        <v>44243.132942767013</v>
      </c>
      <c r="M310" s="39"/>
      <c r="N310" s="1366"/>
    </row>
    <row r="311" spans="2:14" ht="15" thickBot="1">
      <c r="B311" s="36" t="s">
        <v>129</v>
      </c>
      <c r="C311" s="1145" t="s">
        <v>59</v>
      </c>
      <c r="D311" s="1168" t="s">
        <v>59</v>
      </c>
      <c r="E311" s="44">
        <f>E309-E310</f>
        <v>11</v>
      </c>
      <c r="F311" s="44">
        <v>10.411769679546799</v>
      </c>
      <c r="G311" s="44">
        <v>5.0017510068289264</v>
      </c>
      <c r="H311" s="44">
        <v>6.7619472979008499</v>
      </c>
      <c r="I311" s="44">
        <v>116.12108382726504</v>
      </c>
      <c r="J311" s="44">
        <v>126.972647605559</v>
      </c>
      <c r="K311" s="44">
        <v>150.05059174270485</v>
      </c>
      <c r="L311" s="44">
        <v>172.42271293375396</v>
      </c>
      <c r="M311" s="39"/>
      <c r="N311" s="1367"/>
    </row>
    <row r="312" spans="2:14" ht="15" thickBot="1">
      <c r="B312" s="61" t="s">
        <v>708</v>
      </c>
      <c r="C312" s="1144"/>
      <c r="D312" s="1207">
        <v>99076</v>
      </c>
      <c r="E312" s="43">
        <v>103622</v>
      </c>
      <c r="F312" s="43">
        <v>90200.809165468832</v>
      </c>
      <c r="G312" s="43">
        <v>67892.137979338106</v>
      </c>
      <c r="H312" s="43">
        <v>67080.472532380547</v>
      </c>
      <c r="I312" s="43">
        <v>52781.5266723116</v>
      </c>
      <c r="J312" s="43">
        <v>46650.070815260689</v>
      </c>
      <c r="K312" s="43">
        <v>43316.238142560302</v>
      </c>
      <c r="L312" s="43">
        <v>40463.65660207301</v>
      </c>
      <c r="M312" s="126"/>
      <c r="N312" s="70"/>
    </row>
    <row r="313" spans="2:14" ht="15" thickBot="1">
      <c r="B313" s="36" t="s">
        <v>1620</v>
      </c>
      <c r="C313" s="1143"/>
      <c r="D313" s="1140">
        <v>96354</v>
      </c>
      <c r="E313" s="44">
        <v>100500</v>
      </c>
      <c r="F313" s="44">
        <v>87746.865646402279</v>
      </c>
      <c r="G313" s="44">
        <v>66053.705130450006</v>
      </c>
      <c r="H313" s="44">
        <v>64650.652076820013</v>
      </c>
      <c r="I313" s="44">
        <v>50824.037256562238</v>
      </c>
      <c r="J313" s="44">
        <v>44220.809949544135</v>
      </c>
      <c r="K313" s="44">
        <v>40864.589393802518</v>
      </c>
      <c r="L313" s="44">
        <v>36922.29743127535</v>
      </c>
      <c r="M313" s="39"/>
      <c r="N313" s="1367"/>
    </row>
    <row r="314" spans="2:14" ht="15" thickBot="1">
      <c r="B314" s="36" t="s">
        <v>709</v>
      </c>
      <c r="C314" s="1143"/>
      <c r="D314" s="1140">
        <v>1292</v>
      </c>
      <c r="E314" s="44">
        <v>1637</v>
      </c>
      <c r="F314" s="44">
        <v>1084.8524562441869</v>
      </c>
      <c r="G314" s="44">
        <v>846.63281386797405</v>
      </c>
      <c r="H314" s="44">
        <v>1189.6855739169273</v>
      </c>
      <c r="I314" s="44">
        <v>1099.7019475021168</v>
      </c>
      <c r="J314" s="44">
        <v>1307.9791094980969</v>
      </c>
      <c r="K314" s="44">
        <v>1185.1793296594092</v>
      </c>
      <c r="L314" s="44">
        <v>2356.14961694457</v>
      </c>
      <c r="M314" s="39"/>
      <c r="N314" s="1367"/>
    </row>
    <row r="315" spans="2:14" ht="15" thickBot="1">
      <c r="B315" s="36" t="s">
        <v>1632</v>
      </c>
      <c r="C315" s="1143"/>
      <c r="D315" s="1140">
        <v>290</v>
      </c>
      <c r="E315" s="44">
        <v>327</v>
      </c>
      <c r="F315" s="44">
        <v>324.31216707533605</v>
      </c>
      <c r="G315" s="44">
        <v>220.64787252670286</v>
      </c>
      <c r="H315" s="44">
        <v>221.72309066547567</v>
      </c>
      <c r="I315" s="44">
        <v>186.89161727349705</v>
      </c>
      <c r="J315" s="44">
        <v>292.92201469416659</v>
      </c>
      <c r="K315" s="44">
        <v>283.78715331104888</v>
      </c>
      <c r="L315" s="44">
        <v>170.08562415502479</v>
      </c>
      <c r="M315" s="39"/>
      <c r="N315" s="1367"/>
    </row>
    <row r="316" spans="2:14" ht="15" thickBot="1">
      <c r="B316" s="36" t="s">
        <v>710</v>
      </c>
      <c r="C316" s="1143"/>
      <c r="D316" s="1140">
        <v>140</v>
      </c>
      <c r="E316" s="44">
        <v>134</v>
      </c>
      <c r="F316" s="44">
        <v>239.95772385220255</v>
      </c>
      <c r="G316" s="44">
        <v>212.79810891262474</v>
      </c>
      <c r="H316" s="44">
        <v>182.43769539973204</v>
      </c>
      <c r="I316" s="44">
        <v>158.88569009314142</v>
      </c>
      <c r="J316" s="44">
        <v>166.54864123218556</v>
      </c>
      <c r="K316" s="44">
        <v>180.41738187731502</v>
      </c>
      <c r="L316" s="44">
        <v>154.42000901306895</v>
      </c>
      <c r="M316" s="39"/>
      <c r="N316" s="1367"/>
    </row>
    <row r="317" spans="2:14" ht="15" thickBot="1">
      <c r="B317" s="36" t="s">
        <v>1641</v>
      </c>
      <c r="C317" s="1143"/>
      <c r="D317" s="1140">
        <v>258</v>
      </c>
      <c r="E317" s="44">
        <v>216</v>
      </c>
      <c r="F317" s="44">
        <v>223.59431808573601</v>
      </c>
      <c r="G317" s="44">
        <v>113.22185256522501</v>
      </c>
      <c r="H317" s="44">
        <v>256.11255024564542</v>
      </c>
      <c r="I317" s="44">
        <v>166.46401354784081</v>
      </c>
      <c r="J317" s="44">
        <v>154.14446313180491</v>
      </c>
      <c r="K317" s="44">
        <v>148.44611075977957</v>
      </c>
      <c r="L317" s="44">
        <v>95.714285714285708</v>
      </c>
      <c r="M317" s="39"/>
      <c r="N317" s="1367"/>
    </row>
    <row r="318" spans="2:14" ht="15" thickBot="1">
      <c r="B318" s="36" t="s">
        <v>129</v>
      </c>
      <c r="C318" s="1143"/>
      <c r="D318" s="1140">
        <v>742</v>
      </c>
      <c r="E318" s="44">
        <f>E312-E313-E314-E316-E315-E317</f>
        <v>808</v>
      </c>
      <c r="F318" s="44">
        <v>581.22685380908092</v>
      </c>
      <c r="G318" s="44">
        <v>445.13220101558397</v>
      </c>
      <c r="H318" s="44">
        <v>579.86154533273782</v>
      </c>
      <c r="I318" s="44">
        <v>345.54614733276884</v>
      </c>
      <c r="J318" s="44">
        <v>507.66663716030803</v>
      </c>
      <c r="K318" s="44">
        <v>653.81877315023939</v>
      </c>
      <c r="L318" s="44">
        <v>764.98963497070747</v>
      </c>
      <c r="M318" s="39"/>
    </row>
    <row r="319" spans="2:14">
      <c r="B319" s="315" t="s">
        <v>1965</v>
      </c>
    </row>
    <row r="320" spans="2:14">
      <c r="D320" s="23"/>
    </row>
  </sheetData>
  <sortState xmlns:xlrd2="http://schemas.microsoft.com/office/spreadsheetml/2017/richdata2" ref="H222:I231">
    <sortCondition descending="1" ref="I222"/>
  </sortState>
  <mergeCells count="10">
    <mergeCell ref="B33:C33"/>
    <mergeCell ref="B43:C43"/>
    <mergeCell ref="B44:C44"/>
    <mergeCell ref="C209:D209"/>
    <mergeCell ref="B26:C26"/>
    <mergeCell ref="B28:C28"/>
    <mergeCell ref="B29:C29"/>
    <mergeCell ref="B30:C30"/>
    <mergeCell ref="B31:C31"/>
    <mergeCell ref="B32:C32"/>
  </mergeCells>
  <phoneticPr fontId="138" type="noConversion"/>
  <hyperlinks>
    <hyperlink ref="B20" r:id="rId1" display="Source: Worldbank, 2017,  World Development Indicators " xr:uid="{00000000-0004-0000-0500-000000000000}"/>
    <hyperlink ref="B36" r:id="rId2" display="Source: Statistics Canada Table 32-10-00-19-01 Estimates of specialized greenhouse operations, greenhouse area and months of operation, 2019" xr:uid="{00000000-0004-0000-0500-000001000000}"/>
    <hyperlink ref="B37" r:id="rId3" display="Source: Statistics Canada Table 32-10-0029-01 Estimates of nursery area" xr:uid="{00000000-0004-0000-0500-000002000000}"/>
    <hyperlink ref="B46" r:id="rId4" xr:uid="{00000000-0004-0000-0500-000003000000}"/>
    <hyperlink ref="B47" r:id="rId5" display="Source: Statistics Canada Table 32-10-0029-01 Estimates of nursery area" xr:uid="{00000000-0004-0000-0500-000004000000}"/>
    <hyperlink ref="B38" r:id="rId6" location="tables" display="https://www150.statcan.gc.ca/t1/tbl1/en/tv.action?pid=3210045201#tables" xr:uid="{00000000-0004-0000-0500-000005000000}"/>
    <hyperlink ref="B65" r:id="rId7" display="Source: Statitical overview Canadian Ornamental Industry- 2016, Agriculture and Agri-Food Canada, 2018 " xr:uid="{00000000-0004-0000-0500-000006000000}"/>
    <hyperlink ref="B98" r:id="rId8" display="Source: Statistics Canada Table 32-10-0031-01 Nursery tree and plant production " xr:uid="{00000000-0004-0000-0500-000007000000}"/>
    <hyperlink ref="B85" r:id="rId9" display="Source: Statistics Canada, Table 32-10-0021-01 Production of potted plants, cut flowers, cuttings, by variety and tree seedlings" xr:uid="{00000000-0004-0000-0500-000008000000}"/>
    <hyperlink ref="B136" r:id="rId10" display="Source: Statistics Canada, Table 32-10-0021-01 Production of potted plants, cut flowers, cuttings, by variety and tree seedlings" xr:uid="{00000000-0004-0000-0500-000009000000}"/>
    <hyperlink ref="B172" r:id="rId11" display="Source: Statistics Canada Table 32-10-0032-01  Nursery stock sales and resales, 2019" xr:uid="{00000000-0004-0000-0500-00000A000000}"/>
    <hyperlink ref="B171" r:id="rId12" display="Source: Statistics Canada, Table 32-10-0246-01  Production and sale of greenhouse flowers, and plants. " xr:uid="{00000000-0004-0000-0500-00000B000000}"/>
    <hyperlink ref="I202" r:id="rId13" display="Source: Statistics Canada, Table 32-10-033-01 Channels of distribution of nursery product sales and resales, 2020" xr:uid="{00000000-0004-0000-0500-00000C000000}"/>
    <hyperlink ref="B222" r:id="rId14" display="Source: Statistics Canada, Table 32-10-0029-01 Estimates of nursery area, CANSIM (database), 2018" xr:uid="{00000000-0004-0000-0500-00000D000000}"/>
    <hyperlink ref="B319" r:id="rId15" display="Source: Trade Data Online,Government of  Canada" xr:uid="{00000000-0004-0000-0500-00000E000000}"/>
    <hyperlink ref="B48" r:id="rId16" display="Source: Statistics Canada Table: 32-10-0452-01 Estimates of field-grown cut flowers area, production and sales, 2022" xr:uid="{00000000-0004-0000-0500-00000F000000}"/>
    <hyperlink ref="L147" r:id="rId17" location="F1" tooltip="Go to footnote" display="http://www5.statcan.gc.ca/cansim/a47 - F1" xr:uid="{00000000-0004-0000-0500-000010000000}"/>
    <hyperlink ref="L143" r:id="rId18" location="F1" tooltip="Go to footnote" display="http://www5.statcan.gc.ca/cansim/a47 - F1" xr:uid="{00000000-0004-0000-0500-000011000000}"/>
    <hyperlink ref="B57" r:id="rId19" xr:uid="{35BD3B34-4B38-4F23-9AEC-4725AB764F85}"/>
    <hyperlink ref="B66" r:id="rId20" xr:uid="{D2D79DB1-BF8C-44D8-85A1-05CEFD73D1A8}"/>
  </hyperlinks>
  <pageMargins left="0.7" right="0.7" top="0.78740157499999996" bottom="0.78740157499999996" header="0.3" footer="0.3"/>
  <pageSetup paperSize="9" orientation="portrait" r:id="rId21"/>
  <drawing r:id="rId2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44</vt:i4>
      </vt:variant>
      <vt:variant>
        <vt:lpstr>Named Ranges</vt:lpstr>
      </vt:variant>
      <vt:variant>
        <vt:i4>4</vt:i4>
      </vt:variant>
    </vt:vector>
  </HeadingPairs>
  <TitlesOfParts>
    <vt:vector size="48" baseType="lpstr">
      <vt:lpstr>Flowers and pot plants</vt:lpstr>
      <vt:lpstr>Bulbs_Tree_nursery</vt:lpstr>
      <vt:lpstr>Production value area</vt:lpstr>
      <vt:lpstr>Area and production Maps</vt:lpstr>
      <vt:lpstr>Australia_23</vt:lpstr>
      <vt:lpstr>Austria_23-24</vt:lpstr>
      <vt:lpstr>Belgium_24</vt:lpstr>
      <vt:lpstr>Brazil_25</vt:lpstr>
      <vt:lpstr>Canada_26-31</vt:lpstr>
      <vt:lpstr>China_32</vt:lpstr>
      <vt:lpstr>Chinese_Taipei_35</vt:lpstr>
      <vt:lpstr>Colombia_34-37</vt:lpstr>
      <vt:lpstr>Costa_Rica_39</vt:lpstr>
      <vt:lpstr>Denmark_39-42</vt:lpstr>
      <vt:lpstr>Ecuador_43-46</vt:lpstr>
      <vt:lpstr>Ethiopia_47</vt:lpstr>
      <vt:lpstr>Finland_48</vt:lpstr>
      <vt:lpstr>France_45-49</vt:lpstr>
      <vt:lpstr>Germany_50-56</vt:lpstr>
      <vt:lpstr>Indonesia_60</vt:lpstr>
      <vt:lpstr>Guatemala</vt:lpstr>
      <vt:lpstr>Hungary_57</vt:lpstr>
      <vt:lpstr>India_57-59</vt:lpstr>
      <vt:lpstr>Ireland_62</vt:lpstr>
      <vt:lpstr>Israel_62</vt:lpstr>
      <vt:lpstr>Iran_60</vt:lpstr>
      <vt:lpstr>Italy_63-66</vt:lpstr>
      <vt:lpstr>Japan_67-71</vt:lpstr>
      <vt:lpstr>Kenya_72-73</vt:lpstr>
      <vt:lpstr>Korea_73-74</vt:lpstr>
      <vt:lpstr>Malaysia_74</vt:lpstr>
      <vt:lpstr>Mexico_75</vt:lpstr>
      <vt:lpstr>Netherlands_75-79</vt:lpstr>
      <vt:lpstr>Norway_80</vt:lpstr>
      <vt:lpstr>Poland_80-82</vt:lpstr>
      <vt:lpstr>Spain_83-85</vt:lpstr>
      <vt:lpstr>Sweden_87</vt:lpstr>
      <vt:lpstr>Switzerland_88</vt:lpstr>
      <vt:lpstr>Thailand_89</vt:lpstr>
      <vt:lpstr>Turkey_88-91</vt:lpstr>
      <vt:lpstr>Uganda_NEW</vt:lpstr>
      <vt:lpstr>UK_92-93</vt:lpstr>
      <vt:lpstr>USA_94-104</vt:lpstr>
      <vt:lpstr>Vietnam_104 </vt:lpstr>
      <vt:lpstr>Belgium_24!_Hlk77759605</vt:lpstr>
      <vt:lpstr>China_32!_Toc31366484</vt:lpstr>
      <vt:lpstr>Finland_48!OLE_LINK21</vt:lpstr>
      <vt:lpstr>Mexico_75!OLE_LINK31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2025-12-08T09:23:41Z</dcterms:modified>
  <cp:category/>
  <cp:contentStatus/>
</cp:coreProperties>
</file>